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1.1.55\Gerencia Comercial de Credito Hipotecario\SANDRA ROMERO\VTU\"/>
    </mc:Choice>
  </mc:AlternateContent>
  <bookViews>
    <workbookView xWindow="0" yWindow="0" windowWidth="20490" windowHeight="8445" firstSheet="3" activeTab="3"/>
  </bookViews>
  <sheets>
    <sheet name="Creditos cuota Fija" sheetId="1" state="hidden" r:id="rId1"/>
    <sheet name="Tarjetas" sheetId="2" state="hidden" r:id="rId2"/>
    <sheet name="CDT" sheetId="4" state="hidden" r:id="rId3"/>
    <sheet name="VTU LEASING" sheetId="11" r:id="rId4"/>
    <sheet name="Simulador" sheetId="14" r:id="rId5"/>
    <sheet name="Rotativo" sheetId="7" state="hidden" r:id="rId6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90" i="14" l="1"/>
  <c r="AD89" i="14"/>
  <c r="AD88" i="14"/>
  <c r="AD87" i="14"/>
  <c r="AD86" i="14"/>
  <c r="AD85" i="14"/>
  <c r="AD84" i="14"/>
  <c r="AD83" i="14"/>
  <c r="AD82" i="14"/>
  <c r="AD81" i="14"/>
  <c r="AD80" i="14"/>
  <c r="AD79" i="14"/>
  <c r="AD78" i="14"/>
  <c r="AD77" i="14"/>
  <c r="AD76" i="14"/>
  <c r="AD75" i="14"/>
  <c r="AD74" i="14"/>
  <c r="AD73" i="14"/>
  <c r="AD72" i="14"/>
  <c r="AD71" i="14"/>
  <c r="AD70" i="14"/>
  <c r="AD69" i="14"/>
  <c r="AD68" i="14"/>
  <c r="AD67" i="14"/>
  <c r="AD66" i="14"/>
  <c r="AD65" i="14"/>
  <c r="AD64" i="14"/>
  <c r="AD63" i="14"/>
  <c r="AD62" i="14"/>
  <c r="AD61" i="14"/>
  <c r="AD60" i="14"/>
  <c r="AD59" i="14"/>
  <c r="AD58" i="14"/>
  <c r="AD57" i="14"/>
  <c r="AD56" i="14"/>
  <c r="AD55" i="14"/>
  <c r="AD54" i="14"/>
  <c r="AD53" i="14"/>
  <c r="AD52" i="14"/>
  <c r="AD51" i="14"/>
  <c r="AD50" i="14"/>
  <c r="AD49" i="14"/>
  <c r="AD48" i="14"/>
  <c r="AD47" i="14"/>
  <c r="AD46" i="14"/>
  <c r="AD45" i="14"/>
  <c r="AD44" i="14"/>
  <c r="AD43" i="14"/>
  <c r="AD42" i="14"/>
  <c r="AD41" i="14"/>
  <c r="AD40" i="14"/>
  <c r="AD39" i="14"/>
  <c r="AD38" i="14"/>
  <c r="AD37" i="14"/>
  <c r="AD36" i="14"/>
  <c r="AD35" i="14"/>
  <c r="AD34" i="14"/>
  <c r="AD33" i="14"/>
  <c r="AD32" i="14"/>
  <c r="AD31" i="14"/>
  <c r="AD30" i="14"/>
  <c r="AD29" i="14"/>
  <c r="AD28" i="14"/>
  <c r="AD27" i="14"/>
  <c r="AD26" i="14"/>
  <c r="AD25" i="14"/>
  <c r="AD24" i="14"/>
  <c r="AD23" i="14"/>
  <c r="AD22" i="14"/>
  <c r="AD21" i="14"/>
  <c r="P21" i="14"/>
  <c r="P22" i="14" s="1"/>
  <c r="AD20" i="14"/>
  <c r="H20" i="14"/>
  <c r="AD19" i="14"/>
  <c r="AD18" i="14"/>
  <c r="J15" i="14"/>
  <c r="J13" i="14"/>
  <c r="J12" i="14"/>
  <c r="J11" i="14"/>
  <c r="Z10" i="14"/>
  <c r="Y9" i="14"/>
  <c r="Z8" i="14"/>
  <c r="Y8" i="14"/>
  <c r="J8" i="14"/>
  <c r="J9" i="14" s="1"/>
  <c r="G13" i="11" s="1"/>
  <c r="AH7" i="14"/>
  <c r="J7" i="14"/>
  <c r="J6" i="14"/>
  <c r="J5" i="14"/>
  <c r="G10" i="11" s="1"/>
  <c r="D12" i="11"/>
  <c r="L19" i="14" l="1"/>
  <c r="A19" i="14"/>
  <c r="E20" i="14"/>
  <c r="G12" i="11"/>
  <c r="P23" i="14"/>
  <c r="H22" i="14"/>
  <c r="Z9" i="14"/>
  <c r="K5" i="14"/>
  <c r="I20" i="14" s="1"/>
  <c r="H21" i="14"/>
  <c r="T7" i="11"/>
  <c r="T8" i="11" s="1"/>
  <c r="T9" i="11" s="1"/>
  <c r="T10" i="11" s="1"/>
  <c r="T11" i="11" s="1"/>
  <c r="T12" i="11" s="1"/>
  <c r="T13" i="11" s="1"/>
  <c r="T14" i="11" s="1"/>
  <c r="T15" i="11" s="1"/>
  <c r="T16" i="11" s="1"/>
  <c r="T17" i="11" s="1"/>
  <c r="T18" i="11" s="1"/>
  <c r="T19" i="11" s="1"/>
  <c r="T20" i="11" s="1"/>
  <c r="T21" i="11" s="1"/>
  <c r="T23" i="11" s="1"/>
  <c r="T24" i="11" s="1"/>
  <c r="T25" i="11" s="1"/>
  <c r="T26" i="11" s="1"/>
  <c r="T27" i="11" s="1"/>
  <c r="T28" i="11" s="1"/>
  <c r="T29" i="11" s="1"/>
  <c r="T6" i="11"/>
  <c r="S6" i="11"/>
  <c r="S7" i="11" s="1"/>
  <c r="S8" i="11" s="1"/>
  <c r="S9" i="11" s="1"/>
  <c r="S10" i="11" s="1"/>
  <c r="S11" i="11" s="1"/>
  <c r="S12" i="11" s="1"/>
  <c r="S13" i="11" s="1"/>
  <c r="S14" i="11" s="1"/>
  <c r="S15" i="11" s="1"/>
  <c r="S16" i="11" s="1"/>
  <c r="S17" i="11" s="1"/>
  <c r="S18" i="11" s="1"/>
  <c r="S19" i="11" s="1"/>
  <c r="B19" i="14" l="1"/>
  <c r="A20" i="14"/>
  <c r="E21" i="14"/>
  <c r="O20" i="14"/>
  <c r="M20" i="14"/>
  <c r="Q19" i="14"/>
  <c r="J20" i="14"/>
  <c r="P24" i="14"/>
  <c r="H23" i="14"/>
  <c r="T5" i="11"/>
  <c r="A21" i="14" l="1"/>
  <c r="B20" i="14"/>
  <c r="E22" i="14"/>
  <c r="K20" i="14"/>
  <c r="J10" i="11" s="1"/>
  <c r="P25" i="14"/>
  <c r="H24" i="14"/>
  <c r="S5" i="11"/>
  <c r="A22" i="14" l="1"/>
  <c r="B21" i="14"/>
  <c r="E23" i="14"/>
  <c r="L20" i="14"/>
  <c r="P26" i="14"/>
  <c r="H25" i="14"/>
  <c r="B22" i="14" l="1"/>
  <c r="A23" i="14"/>
  <c r="E24" i="14"/>
  <c r="P27" i="14"/>
  <c r="H26" i="14"/>
  <c r="J21" i="14"/>
  <c r="O21" i="14"/>
  <c r="I21" i="14"/>
  <c r="M21" i="14"/>
  <c r="E25" i="14" l="1"/>
  <c r="B23" i="14"/>
  <c r="A24" i="14"/>
  <c r="P28" i="14"/>
  <c r="H27" i="14"/>
  <c r="K21" i="14"/>
  <c r="A25" i="14" l="1"/>
  <c r="B24" i="14"/>
  <c r="E26" i="14"/>
  <c r="L21" i="14"/>
  <c r="P29" i="14"/>
  <c r="H28" i="14"/>
  <c r="G17" i="11"/>
  <c r="G14" i="11"/>
  <c r="G11" i="11"/>
  <c r="E27" i="14" l="1"/>
  <c r="A26" i="14"/>
  <c r="B25" i="14"/>
  <c r="M22" i="14"/>
  <c r="J22" i="14"/>
  <c r="O22" i="14"/>
  <c r="I22" i="14"/>
  <c r="P30" i="14"/>
  <c r="H29" i="14"/>
  <c r="A27" i="14" l="1"/>
  <c r="B26" i="14"/>
  <c r="E28" i="14"/>
  <c r="K22" i="14"/>
  <c r="L22" i="14" s="1"/>
  <c r="P31" i="14"/>
  <c r="H30" i="14"/>
  <c r="AJ30" i="2"/>
  <c r="AG19" i="2" a="1"/>
  <c r="AG19" i="2"/>
  <c r="P19" i="2"/>
  <c r="AN31" i="2"/>
  <c r="C7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13" i="4"/>
  <c r="D13" i="4"/>
  <c r="AG29" i="2"/>
  <c r="AG25" i="2"/>
  <c r="AG21" i="2"/>
  <c r="AG30" i="2"/>
  <c r="AG26" i="2"/>
  <c r="AG22" i="2"/>
  <c r="AG31" i="2"/>
  <c r="AG28" i="2"/>
  <c r="AG24" i="2"/>
  <c r="AG20" i="2"/>
  <c r="AL31" i="2"/>
  <c r="AG27" i="2"/>
  <c r="AG23" i="2"/>
  <c r="D14" i="4"/>
  <c r="AH21" i="7"/>
  <c r="AH22" i="7"/>
  <c r="AH23" i="7"/>
  <c r="AH24" i="7"/>
  <c r="AH25" i="7"/>
  <c r="AH26" i="7"/>
  <c r="AH27" i="7"/>
  <c r="AH28" i="7"/>
  <c r="AH29" i="7"/>
  <c r="AH30" i="7"/>
  <c r="AH31" i="7"/>
  <c r="AH20" i="7"/>
  <c r="P53" i="7"/>
  <c r="O53" i="7"/>
  <c r="N53" i="7"/>
  <c r="M53" i="7"/>
  <c r="L53" i="7"/>
  <c r="K53" i="7"/>
  <c r="J53" i="7"/>
  <c r="I53" i="7"/>
  <c r="H53" i="7"/>
  <c r="G53" i="7"/>
  <c r="F53" i="7"/>
  <c r="E53" i="7"/>
  <c r="E20" i="7"/>
  <c r="F20" i="7"/>
  <c r="G20" i="7"/>
  <c r="H20" i="7"/>
  <c r="I20" i="7"/>
  <c r="J20" i="7"/>
  <c r="K20" i="7"/>
  <c r="L20" i="7"/>
  <c r="M20" i="7"/>
  <c r="N20" i="7"/>
  <c r="O20" i="7"/>
  <c r="P20" i="7"/>
  <c r="D53" i="7"/>
  <c r="N47" i="7"/>
  <c r="M47" i="7"/>
  <c r="L47" i="7"/>
  <c r="K47" i="7"/>
  <c r="J47" i="7"/>
  <c r="I47" i="7"/>
  <c r="H47" i="7"/>
  <c r="G47" i="7"/>
  <c r="F47" i="7"/>
  <c r="E47" i="7"/>
  <c r="M46" i="7"/>
  <c r="L46" i="7"/>
  <c r="K46" i="7"/>
  <c r="J46" i="7"/>
  <c r="I46" i="7"/>
  <c r="H46" i="7"/>
  <c r="G46" i="7"/>
  <c r="F46" i="7"/>
  <c r="E46" i="7"/>
  <c r="L45" i="7"/>
  <c r="K45" i="7"/>
  <c r="J45" i="7"/>
  <c r="I45" i="7"/>
  <c r="H45" i="7"/>
  <c r="G45" i="7"/>
  <c r="F45" i="7"/>
  <c r="E45" i="7"/>
  <c r="K44" i="7"/>
  <c r="J44" i="7"/>
  <c r="I44" i="7"/>
  <c r="H44" i="7"/>
  <c r="G44" i="7"/>
  <c r="F44" i="7"/>
  <c r="E44" i="7"/>
  <c r="J43" i="7"/>
  <c r="I43" i="7"/>
  <c r="H43" i="7"/>
  <c r="G43" i="7"/>
  <c r="F43" i="7"/>
  <c r="E43" i="7"/>
  <c r="I42" i="7"/>
  <c r="H42" i="7"/>
  <c r="G42" i="7"/>
  <c r="F42" i="7"/>
  <c r="E42" i="7"/>
  <c r="H41" i="7"/>
  <c r="G41" i="7"/>
  <c r="F41" i="7"/>
  <c r="E41" i="7"/>
  <c r="G40" i="7"/>
  <c r="F40" i="7"/>
  <c r="E40" i="7"/>
  <c r="F39" i="7"/>
  <c r="E39" i="7"/>
  <c r="E38" i="7"/>
  <c r="D35" i="7"/>
  <c r="D20" i="7"/>
  <c r="D12" i="7"/>
  <c r="B5" i="7"/>
  <c r="I13" i="4"/>
  <c r="E14" i="7"/>
  <c r="E36" i="7"/>
  <c r="E35" i="7"/>
  <c r="E12" i="7"/>
  <c r="D19" i="7"/>
  <c r="E21" i="7"/>
  <c r="F21" i="7"/>
  <c r="G21" i="7"/>
  <c r="H21" i="7"/>
  <c r="I21" i="7"/>
  <c r="J21" i="7"/>
  <c r="K21" i="7"/>
  <c r="L21" i="7"/>
  <c r="M21" i="7"/>
  <c r="N21" i="7"/>
  <c r="O21" i="7"/>
  <c r="P21" i="7"/>
  <c r="E19" i="7"/>
  <c r="E49" i="7"/>
  <c r="F12" i="7"/>
  <c r="F37" i="7"/>
  <c r="F36" i="7"/>
  <c r="F14" i="7"/>
  <c r="F22" i="7"/>
  <c r="G22" i="7"/>
  <c r="H22" i="7"/>
  <c r="I22" i="7"/>
  <c r="J22" i="7"/>
  <c r="K22" i="7"/>
  <c r="L22" i="7"/>
  <c r="M22" i="7"/>
  <c r="N22" i="7"/>
  <c r="O22" i="7"/>
  <c r="P22" i="7"/>
  <c r="F12" i="4"/>
  <c r="B7" i="4"/>
  <c r="F35" i="7"/>
  <c r="G37" i="7"/>
  <c r="G12" i="7"/>
  <c r="G23" i="7"/>
  <c r="H23" i="7"/>
  <c r="I23" i="7"/>
  <c r="J23" i="7"/>
  <c r="K23" i="7"/>
  <c r="L23" i="7"/>
  <c r="M23" i="7"/>
  <c r="N23" i="7"/>
  <c r="O23" i="7"/>
  <c r="P23" i="7"/>
  <c r="G38" i="7"/>
  <c r="F19" i="7"/>
  <c r="G36" i="7"/>
  <c r="G14" i="7"/>
  <c r="G13" i="4"/>
  <c r="I12" i="4"/>
  <c r="G19" i="7"/>
  <c r="G35" i="7"/>
  <c r="H36" i="7"/>
  <c r="H14" i="7"/>
  <c r="H37" i="7"/>
  <c r="H24" i="7"/>
  <c r="I24" i="7"/>
  <c r="J24" i="7"/>
  <c r="K24" i="7"/>
  <c r="L24" i="7"/>
  <c r="M24" i="7"/>
  <c r="N24" i="7"/>
  <c r="O24" i="7"/>
  <c r="P24" i="7"/>
  <c r="F49" i="7"/>
  <c r="H39" i="7"/>
  <c r="H38" i="7"/>
  <c r="H12" i="7"/>
  <c r="D15" i="4"/>
  <c r="G14" i="4"/>
  <c r="D53" i="2"/>
  <c r="D35" i="2"/>
  <c r="E38" i="2"/>
  <c r="E39" i="2"/>
  <c r="F39" i="2"/>
  <c r="E40" i="2"/>
  <c r="F40" i="2"/>
  <c r="G40" i="2"/>
  <c r="E41" i="2"/>
  <c r="F41" i="2"/>
  <c r="G41" i="2"/>
  <c r="H41" i="2"/>
  <c r="E42" i="2"/>
  <c r="F42" i="2"/>
  <c r="G42" i="2"/>
  <c r="H42" i="2"/>
  <c r="I42" i="2"/>
  <c r="E43" i="2"/>
  <c r="F43" i="2"/>
  <c r="G43" i="2"/>
  <c r="H43" i="2"/>
  <c r="I43" i="2"/>
  <c r="J43" i="2"/>
  <c r="E44" i="2"/>
  <c r="F44" i="2"/>
  <c r="G44" i="2"/>
  <c r="H44" i="2"/>
  <c r="I44" i="2"/>
  <c r="J44" i="2"/>
  <c r="K44" i="2"/>
  <c r="E45" i="2"/>
  <c r="F45" i="2"/>
  <c r="G45" i="2"/>
  <c r="H45" i="2"/>
  <c r="I45" i="2"/>
  <c r="J45" i="2"/>
  <c r="K45" i="2"/>
  <c r="L45" i="2"/>
  <c r="E46" i="2"/>
  <c r="F46" i="2"/>
  <c r="G46" i="2"/>
  <c r="H46" i="2"/>
  <c r="I46" i="2"/>
  <c r="J46" i="2"/>
  <c r="K46" i="2"/>
  <c r="L46" i="2"/>
  <c r="M46" i="2"/>
  <c r="E47" i="2"/>
  <c r="F47" i="2"/>
  <c r="G47" i="2"/>
  <c r="H47" i="2"/>
  <c r="I47" i="2"/>
  <c r="J47" i="2"/>
  <c r="K47" i="2"/>
  <c r="L47" i="2"/>
  <c r="M47" i="2"/>
  <c r="N47" i="2"/>
  <c r="D12" i="2"/>
  <c r="E12" i="2"/>
  <c r="F12" i="2"/>
  <c r="G12" i="2"/>
  <c r="H12" i="2"/>
  <c r="I12" i="2"/>
  <c r="J12" i="2"/>
  <c r="K12" i="2"/>
  <c r="L12" i="2"/>
  <c r="M12" i="2"/>
  <c r="N12" i="2"/>
  <c r="O12" i="2"/>
  <c r="I14" i="4"/>
  <c r="G15" i="4"/>
  <c r="G49" i="7"/>
  <c r="I38" i="7"/>
  <c r="I39" i="7"/>
  <c r="I40" i="7"/>
  <c r="I25" i="7"/>
  <c r="J25" i="7"/>
  <c r="K25" i="7"/>
  <c r="L25" i="7"/>
  <c r="M25" i="7"/>
  <c r="N25" i="7"/>
  <c r="O25" i="7"/>
  <c r="P25" i="7"/>
  <c r="I12" i="7"/>
  <c r="H35" i="7"/>
  <c r="I37" i="7"/>
  <c r="H19" i="7"/>
  <c r="I36" i="7"/>
  <c r="I14" i="7"/>
  <c r="I19" i="7"/>
  <c r="I35" i="7"/>
  <c r="I49" i="7"/>
  <c r="J37" i="7"/>
  <c r="J12" i="7"/>
  <c r="J41" i="7"/>
  <c r="J40" i="7"/>
  <c r="J38" i="7"/>
  <c r="J36" i="7"/>
  <c r="J14" i="7"/>
  <c r="J26" i="7"/>
  <c r="K26" i="7"/>
  <c r="L26" i="7"/>
  <c r="M26" i="7"/>
  <c r="N26" i="7"/>
  <c r="O26" i="7"/>
  <c r="P26" i="7"/>
  <c r="J39" i="7"/>
  <c r="H49" i="7"/>
  <c r="D16" i="4"/>
  <c r="B5" i="2"/>
  <c r="D20" i="2"/>
  <c r="E54" i="2"/>
  <c r="K36" i="7"/>
  <c r="K14" i="7"/>
  <c r="K40" i="7"/>
  <c r="K12" i="7"/>
  <c r="K42" i="7"/>
  <c r="K38" i="7"/>
  <c r="K41" i="7"/>
  <c r="K39" i="7"/>
  <c r="J35" i="7"/>
  <c r="J19" i="7"/>
  <c r="K27" i="7"/>
  <c r="L27" i="7"/>
  <c r="M27" i="7"/>
  <c r="N27" i="7"/>
  <c r="O27" i="7"/>
  <c r="P27" i="7"/>
  <c r="K37" i="7"/>
  <c r="I15" i="4"/>
  <c r="D19" i="2"/>
  <c r="E20" i="2"/>
  <c r="C5" i="1"/>
  <c r="F54" i="2"/>
  <c r="E67" i="2"/>
  <c r="E53" i="2"/>
  <c r="E21" i="2"/>
  <c r="K19" i="7"/>
  <c r="L43" i="7"/>
  <c r="L39" i="7"/>
  <c r="L38" i="7"/>
  <c r="L36" i="7"/>
  <c r="L14" i="7"/>
  <c r="J49" i="7"/>
  <c r="L41" i="7"/>
  <c r="L12" i="7"/>
  <c r="L28" i="7"/>
  <c r="M28" i="7"/>
  <c r="N28" i="7"/>
  <c r="O28" i="7"/>
  <c r="P28" i="7"/>
  <c r="L40" i="7"/>
  <c r="L37" i="7"/>
  <c r="L42" i="7"/>
  <c r="K35" i="7"/>
  <c r="K49" i="7"/>
  <c r="D17" i="4"/>
  <c r="G16" i="4"/>
  <c r="F20" i="2"/>
  <c r="E36" i="2"/>
  <c r="E35" i="2"/>
  <c r="E19" i="2"/>
  <c r="E14" i="2"/>
  <c r="F12" i="1"/>
  <c r="B7" i="1"/>
  <c r="C13" i="1"/>
  <c r="J12" i="1"/>
  <c r="G54" i="2"/>
  <c r="F21" i="2"/>
  <c r="F55" i="2"/>
  <c r="F67" i="2"/>
  <c r="M36" i="7"/>
  <c r="M14" i="7"/>
  <c r="M38" i="7"/>
  <c r="M41" i="7"/>
  <c r="M29" i="7"/>
  <c r="N29" i="7"/>
  <c r="O29" i="7"/>
  <c r="P29" i="7"/>
  <c r="M43" i="7"/>
  <c r="M42" i="7"/>
  <c r="M12" i="7"/>
  <c r="M40" i="7"/>
  <c r="L35" i="7"/>
  <c r="M44" i="7"/>
  <c r="M37" i="7"/>
  <c r="L19" i="7"/>
  <c r="M39" i="7"/>
  <c r="I16" i="4"/>
  <c r="E49" i="2"/>
  <c r="G20" i="2"/>
  <c r="F14" i="2"/>
  <c r="F36" i="2"/>
  <c r="G13" i="1"/>
  <c r="C14" i="1"/>
  <c r="D13" i="1"/>
  <c r="E13" i="1"/>
  <c r="H54" i="2"/>
  <c r="G21" i="2"/>
  <c r="G55" i="2"/>
  <c r="F37" i="2"/>
  <c r="F35" i="2"/>
  <c r="F22" i="2"/>
  <c r="N39" i="7"/>
  <c r="N45" i="7"/>
  <c r="N41" i="7"/>
  <c r="N38" i="7"/>
  <c r="M35" i="7"/>
  <c r="L49" i="7"/>
  <c r="N42" i="7"/>
  <c r="M19" i="7"/>
  <c r="N37" i="7"/>
  <c r="N12" i="7"/>
  <c r="N44" i="7"/>
  <c r="N40" i="7"/>
  <c r="N43" i="7"/>
  <c r="N36" i="7"/>
  <c r="N14" i="7"/>
  <c r="N30" i="7"/>
  <c r="O30" i="7"/>
  <c r="P30" i="7"/>
  <c r="H20" i="2"/>
  <c r="G14" i="2"/>
  <c r="G36" i="2"/>
  <c r="C15" i="1"/>
  <c r="J13" i="1"/>
  <c r="F13" i="1"/>
  <c r="G22" i="2"/>
  <c r="G56" i="2"/>
  <c r="G67" i="2"/>
  <c r="I54" i="2"/>
  <c r="F19" i="2"/>
  <c r="F49" i="2"/>
  <c r="F53" i="2"/>
  <c r="H21" i="2"/>
  <c r="H55" i="2"/>
  <c r="G37" i="2"/>
  <c r="G23" i="2"/>
  <c r="O46" i="7"/>
  <c r="Q30" i="7"/>
  <c r="R30" i="7"/>
  <c r="S30" i="7"/>
  <c r="T30" i="7"/>
  <c r="U30" i="7"/>
  <c r="V30" i="7"/>
  <c r="W30" i="7"/>
  <c r="X30" i="7"/>
  <c r="Y30" i="7"/>
  <c r="Z30" i="7"/>
  <c r="N35" i="7"/>
  <c r="M49" i="7"/>
  <c r="O41" i="7"/>
  <c r="Q25" i="7"/>
  <c r="R25" i="7"/>
  <c r="S25" i="7"/>
  <c r="T25" i="7"/>
  <c r="U25" i="7"/>
  <c r="Q27" i="7"/>
  <c r="R27" i="7"/>
  <c r="S27" i="7"/>
  <c r="T27" i="7"/>
  <c r="U27" i="7"/>
  <c r="V27" i="7"/>
  <c r="W27" i="7"/>
  <c r="O43" i="7"/>
  <c r="O42" i="7"/>
  <c r="Q26" i="7"/>
  <c r="R26" i="7"/>
  <c r="S26" i="7"/>
  <c r="T26" i="7"/>
  <c r="U26" i="7"/>
  <c r="V26" i="7"/>
  <c r="O38" i="7"/>
  <c r="Q22" i="7"/>
  <c r="R22" i="7"/>
  <c r="O39" i="7"/>
  <c r="Q23" i="7"/>
  <c r="R23" i="7"/>
  <c r="S23" i="7"/>
  <c r="N19" i="7"/>
  <c r="N49" i="7"/>
  <c r="O40" i="7"/>
  <c r="Q24" i="7"/>
  <c r="R24" i="7"/>
  <c r="S24" i="7"/>
  <c r="T24" i="7"/>
  <c r="O36" i="7"/>
  <c r="O19" i="7"/>
  <c r="O14" i="7"/>
  <c r="O31" i="7"/>
  <c r="O44" i="7"/>
  <c r="Q28" i="7"/>
  <c r="R28" i="7"/>
  <c r="S28" i="7"/>
  <c r="T28" i="7"/>
  <c r="U28" i="7"/>
  <c r="V28" i="7"/>
  <c r="W28" i="7"/>
  <c r="X28" i="7"/>
  <c r="O12" i="7"/>
  <c r="O37" i="7"/>
  <c r="Q21" i="7"/>
  <c r="Q29" i="7"/>
  <c r="R29" i="7"/>
  <c r="S29" i="7"/>
  <c r="T29" i="7"/>
  <c r="U29" i="7"/>
  <c r="V29" i="7"/>
  <c r="W29" i="7"/>
  <c r="X29" i="7"/>
  <c r="Y29" i="7"/>
  <c r="O45" i="7"/>
  <c r="D18" i="4"/>
  <c r="G17" i="4"/>
  <c r="I20" i="2"/>
  <c r="H36" i="2"/>
  <c r="H14" i="2"/>
  <c r="C16" i="1"/>
  <c r="G14" i="1"/>
  <c r="J14" i="1"/>
  <c r="D14" i="1"/>
  <c r="I21" i="2"/>
  <c r="I55" i="2"/>
  <c r="H37" i="2"/>
  <c r="H23" i="2"/>
  <c r="H57" i="2"/>
  <c r="J54" i="2"/>
  <c r="G19" i="2"/>
  <c r="H22" i="2"/>
  <c r="H56" i="2"/>
  <c r="H67" i="2"/>
  <c r="G38" i="2"/>
  <c r="G35" i="2"/>
  <c r="P31" i="7"/>
  <c r="Q31" i="7"/>
  <c r="R31" i="7"/>
  <c r="S31" i="7"/>
  <c r="T31" i="7"/>
  <c r="U31" i="7"/>
  <c r="V31" i="7"/>
  <c r="W31" i="7"/>
  <c r="X31" i="7"/>
  <c r="Y31" i="7"/>
  <c r="Z31" i="7"/>
  <c r="AE20" i="7" a="1"/>
  <c r="P14" i="7"/>
  <c r="O35" i="7"/>
  <c r="O49" i="7"/>
  <c r="P32" i="7"/>
  <c r="P19" i="7"/>
  <c r="I17" i="4"/>
  <c r="J20" i="2"/>
  <c r="I36" i="2"/>
  <c r="I14" i="2"/>
  <c r="C17" i="1"/>
  <c r="E14" i="1"/>
  <c r="G49" i="2"/>
  <c r="G53" i="2"/>
  <c r="I23" i="2"/>
  <c r="I57" i="2"/>
  <c r="H39" i="2"/>
  <c r="I22" i="2"/>
  <c r="I56" i="2"/>
  <c r="H38" i="2"/>
  <c r="H35" i="2"/>
  <c r="H24" i="2"/>
  <c r="J21" i="2"/>
  <c r="J55" i="2"/>
  <c r="I37" i="2"/>
  <c r="K54" i="2"/>
  <c r="P47" i="7"/>
  <c r="P35" i="7"/>
  <c r="AF20" i="7" a="1"/>
  <c r="AG19" i="7" a="1"/>
  <c r="AE29" i="7"/>
  <c r="AE25" i="7"/>
  <c r="AE21" i="7"/>
  <c r="AE31" i="7"/>
  <c r="AE27" i="7"/>
  <c r="AE23" i="7"/>
  <c r="AE28" i="7"/>
  <c r="AE24" i="7"/>
  <c r="AE20" i="7"/>
  <c r="AE30" i="7"/>
  <c r="AE26" i="7"/>
  <c r="AE22" i="7"/>
  <c r="D19" i="4"/>
  <c r="G18" i="4"/>
  <c r="K20" i="2"/>
  <c r="J14" i="2"/>
  <c r="J36" i="2"/>
  <c r="C18" i="1"/>
  <c r="F14" i="1"/>
  <c r="I58" i="2"/>
  <c r="I67" i="2"/>
  <c r="I24" i="2"/>
  <c r="J22" i="2"/>
  <c r="J56" i="2"/>
  <c r="I38" i="2"/>
  <c r="K21" i="2"/>
  <c r="K55" i="2"/>
  <c r="J37" i="2"/>
  <c r="J23" i="2"/>
  <c r="J57" i="2"/>
  <c r="I39" i="2"/>
  <c r="L54" i="2"/>
  <c r="I25" i="2"/>
  <c r="H19" i="2"/>
  <c r="H49" i="2"/>
  <c r="H53" i="2"/>
  <c r="AG30" i="7"/>
  <c r="AG26" i="7"/>
  <c r="AK27" i="7"/>
  <c r="AG22" i="7"/>
  <c r="AG21" i="7"/>
  <c r="AG28" i="7"/>
  <c r="AK29" i="7"/>
  <c r="AG24" i="7"/>
  <c r="AK25" i="7"/>
  <c r="AG20" i="7"/>
  <c r="AK21" i="7"/>
  <c r="AG29" i="7"/>
  <c r="AK30" i="7"/>
  <c r="AG25" i="7"/>
  <c r="AG31" i="7"/>
  <c r="AG27" i="7"/>
  <c r="AK28" i="7"/>
  <c r="AG23" i="7"/>
  <c r="AK24" i="7"/>
  <c r="AG19" i="7"/>
  <c r="AF28" i="7"/>
  <c r="AF24" i="7"/>
  <c r="AF20" i="7"/>
  <c r="AF27" i="7"/>
  <c r="AF31" i="7"/>
  <c r="AF30" i="7"/>
  <c r="AF26" i="7"/>
  <c r="AF22" i="7"/>
  <c r="AF23" i="7"/>
  <c r="AF29" i="7"/>
  <c r="AF25" i="7"/>
  <c r="AF21" i="7"/>
  <c r="AE32" i="7"/>
  <c r="AK20" i="7"/>
  <c r="AK22" i="7"/>
  <c r="AK26" i="7"/>
  <c r="AK23" i="7"/>
  <c r="P49" i="7"/>
  <c r="I18" i="4"/>
  <c r="L20" i="2"/>
  <c r="K14" i="2"/>
  <c r="K36" i="2"/>
  <c r="C19" i="1"/>
  <c r="G15" i="1"/>
  <c r="J15" i="1"/>
  <c r="D15" i="1"/>
  <c r="L55" i="2"/>
  <c r="L21" i="2"/>
  <c r="K37" i="2"/>
  <c r="K23" i="2"/>
  <c r="K57" i="2"/>
  <c r="J39" i="2"/>
  <c r="I35" i="2"/>
  <c r="K22" i="2"/>
  <c r="K56" i="2"/>
  <c r="J38" i="2"/>
  <c r="J59" i="2"/>
  <c r="J25" i="2"/>
  <c r="J24" i="2"/>
  <c r="J58" i="2"/>
  <c r="J67" i="2"/>
  <c r="I40" i="2"/>
  <c r="I19" i="2"/>
  <c r="M54" i="2"/>
  <c r="AD29" i="7"/>
  <c r="AJ29" i="7"/>
  <c r="AB29" i="7"/>
  <c r="AB30" i="7"/>
  <c r="AD30" i="7"/>
  <c r="AJ30" i="7"/>
  <c r="AD24" i="7"/>
  <c r="AJ24" i="7"/>
  <c r="AB24" i="7"/>
  <c r="AD23" i="7"/>
  <c r="AJ23" i="7"/>
  <c r="AB23" i="7"/>
  <c r="AB31" i="7"/>
  <c r="AD31" i="7"/>
  <c r="AJ31" i="7"/>
  <c r="AD28" i="7"/>
  <c r="AJ28" i="7"/>
  <c r="AB28" i="7"/>
  <c r="AD21" i="7"/>
  <c r="AJ21" i="7"/>
  <c r="AB21" i="7"/>
  <c r="AD22" i="7"/>
  <c r="AJ22" i="7"/>
  <c r="AB22" i="7"/>
  <c r="AD27" i="7"/>
  <c r="AJ27" i="7"/>
  <c r="AB27" i="7"/>
  <c r="AK31" i="7"/>
  <c r="AG32" i="7"/>
  <c r="AK32" i="7"/>
  <c r="AJ19" i="7"/>
  <c r="AB19" i="7"/>
  <c r="AD25" i="7"/>
  <c r="AJ25" i="7"/>
  <c r="AB25" i="7"/>
  <c r="AB26" i="7"/>
  <c r="AD26" i="7"/>
  <c r="AJ26" i="7"/>
  <c r="AB20" i="7"/>
  <c r="AD20" i="7"/>
  <c r="AJ20" i="7"/>
  <c r="G19" i="4"/>
  <c r="D20" i="4"/>
  <c r="M20" i="2"/>
  <c r="L14" i="2"/>
  <c r="L36" i="2"/>
  <c r="C20" i="1"/>
  <c r="E15" i="1"/>
  <c r="N54" i="2"/>
  <c r="K58" i="2"/>
  <c r="K24" i="2"/>
  <c r="J40" i="2"/>
  <c r="J26" i="2"/>
  <c r="K25" i="2"/>
  <c r="K59" i="2"/>
  <c r="J41" i="2"/>
  <c r="J35" i="2"/>
  <c r="M21" i="2"/>
  <c r="M55" i="2"/>
  <c r="L37" i="2"/>
  <c r="I49" i="2"/>
  <c r="I53" i="2"/>
  <c r="L22" i="2"/>
  <c r="L56" i="2"/>
  <c r="K38" i="2"/>
  <c r="L23" i="2"/>
  <c r="L57" i="2"/>
  <c r="K39" i="2"/>
  <c r="AJ12" i="7"/>
  <c r="AJ13" i="7"/>
  <c r="AJ11" i="7"/>
  <c r="I19" i="4"/>
  <c r="N20" i="2"/>
  <c r="M36" i="2"/>
  <c r="M14" i="2"/>
  <c r="C21" i="1"/>
  <c r="F15" i="1"/>
  <c r="L25" i="2"/>
  <c r="L59" i="2"/>
  <c r="K41" i="2"/>
  <c r="K60" i="2"/>
  <c r="K67" i="2"/>
  <c r="K26" i="2"/>
  <c r="K27" i="2"/>
  <c r="M23" i="2"/>
  <c r="M57" i="2"/>
  <c r="L39" i="2"/>
  <c r="J19" i="2"/>
  <c r="J49" i="2"/>
  <c r="J53" i="2"/>
  <c r="L24" i="2"/>
  <c r="L58" i="2"/>
  <c r="K40" i="2"/>
  <c r="M22" i="2"/>
  <c r="M56" i="2"/>
  <c r="L38" i="2"/>
  <c r="N21" i="2"/>
  <c r="N55" i="2"/>
  <c r="M37" i="2"/>
  <c r="O54" i="2"/>
  <c r="D21" i="4"/>
  <c r="G20" i="4"/>
  <c r="O20" i="2"/>
  <c r="N14" i="2"/>
  <c r="N36" i="2"/>
  <c r="C22" i="1"/>
  <c r="G16" i="1"/>
  <c r="J16" i="1"/>
  <c r="D16" i="1"/>
  <c r="O55" i="2"/>
  <c r="O21" i="2"/>
  <c r="N37" i="2"/>
  <c r="M24" i="2"/>
  <c r="M58" i="2"/>
  <c r="L40" i="2"/>
  <c r="N23" i="2"/>
  <c r="N57" i="2"/>
  <c r="M39" i="2"/>
  <c r="L27" i="2"/>
  <c r="L61" i="2"/>
  <c r="L26" i="2"/>
  <c r="L60" i="2"/>
  <c r="K42" i="2"/>
  <c r="K35" i="2"/>
  <c r="M25" i="2"/>
  <c r="M59" i="2"/>
  <c r="L41" i="2"/>
  <c r="N22" i="2"/>
  <c r="N56" i="2"/>
  <c r="M38" i="2"/>
  <c r="K19" i="2"/>
  <c r="I20" i="4"/>
  <c r="L43" i="2"/>
  <c r="P20" i="2"/>
  <c r="O14" i="2"/>
  <c r="O36" i="2"/>
  <c r="C23" i="1"/>
  <c r="E16" i="1"/>
  <c r="N58" i="2"/>
  <c r="N24" i="2"/>
  <c r="M40" i="2"/>
  <c r="N59" i="2"/>
  <c r="N25" i="2"/>
  <c r="M41" i="2"/>
  <c r="O23" i="2"/>
  <c r="O57" i="2"/>
  <c r="N39" i="2"/>
  <c r="L35" i="2"/>
  <c r="O22" i="2"/>
  <c r="O56" i="2"/>
  <c r="N38" i="2"/>
  <c r="M61" i="2"/>
  <c r="M27" i="2"/>
  <c r="P21" i="2"/>
  <c r="Q21" i="2"/>
  <c r="O37" i="2"/>
  <c r="M60" i="2"/>
  <c r="M26" i="2"/>
  <c r="L42" i="2"/>
  <c r="K49" i="2"/>
  <c r="K53" i="2"/>
  <c r="L67" i="2"/>
  <c r="L28" i="2"/>
  <c r="D22" i="4"/>
  <c r="G21" i="4"/>
  <c r="L19" i="2"/>
  <c r="L49" i="2"/>
  <c r="L53" i="2"/>
  <c r="M43" i="2"/>
  <c r="P14" i="2"/>
  <c r="C24" i="1"/>
  <c r="F16" i="1"/>
  <c r="P22" i="2"/>
  <c r="Q22" i="2"/>
  <c r="R22" i="2"/>
  <c r="O38" i="2"/>
  <c r="P23" i="2"/>
  <c r="Q23" i="2"/>
  <c r="R23" i="2"/>
  <c r="S23" i="2"/>
  <c r="O39" i="2"/>
  <c r="O59" i="2"/>
  <c r="O25" i="2"/>
  <c r="N41" i="2"/>
  <c r="O58" i="2"/>
  <c r="O24" i="2"/>
  <c r="N40" i="2"/>
  <c r="M28" i="2"/>
  <c r="M62" i="2"/>
  <c r="M67" i="2"/>
  <c r="N26" i="2"/>
  <c r="N60" i="2"/>
  <c r="M42" i="2"/>
  <c r="N27" i="2"/>
  <c r="N61" i="2"/>
  <c r="M29" i="2"/>
  <c r="I21" i="4"/>
  <c r="M19" i="2"/>
  <c r="C25" i="1"/>
  <c r="D17" i="1"/>
  <c r="G17" i="1"/>
  <c r="J17" i="1"/>
  <c r="O26" i="2"/>
  <c r="O60" i="2"/>
  <c r="N42" i="2"/>
  <c r="N29" i="2"/>
  <c r="N63" i="2"/>
  <c r="O61" i="2"/>
  <c r="O27" i="2"/>
  <c r="P27" i="2"/>
  <c r="Q27" i="2"/>
  <c r="N43" i="2"/>
  <c r="N28" i="2"/>
  <c r="N62" i="2"/>
  <c r="M44" i="2"/>
  <c r="M35" i="2"/>
  <c r="M49" i="2"/>
  <c r="M53" i="2"/>
  <c r="P24" i="2"/>
  <c r="Q24" i="2"/>
  <c r="R24" i="2"/>
  <c r="S24" i="2"/>
  <c r="T24" i="2"/>
  <c r="O40" i="2"/>
  <c r="N67" i="2"/>
  <c r="P25" i="2"/>
  <c r="Q25" i="2"/>
  <c r="R25" i="2"/>
  <c r="S25" i="2"/>
  <c r="T25" i="2"/>
  <c r="U25" i="2"/>
  <c r="O41" i="2"/>
  <c r="G22" i="4"/>
  <c r="D23" i="4"/>
  <c r="N24" i="4"/>
  <c r="C26" i="1"/>
  <c r="E17" i="1"/>
  <c r="P26" i="2"/>
  <c r="Q26" i="2"/>
  <c r="R26" i="2"/>
  <c r="S26" i="2"/>
  <c r="T26" i="2"/>
  <c r="U26" i="2"/>
  <c r="V26" i="2"/>
  <c r="O42" i="2"/>
  <c r="O62" i="2"/>
  <c r="O28" i="2"/>
  <c r="N44" i="2"/>
  <c r="N30" i="2"/>
  <c r="O29" i="2"/>
  <c r="P29" i="2"/>
  <c r="Q29" i="2"/>
  <c r="O63" i="2"/>
  <c r="N45" i="2"/>
  <c r="N35" i="2"/>
  <c r="O43" i="2"/>
  <c r="I22" i="4"/>
  <c r="R27" i="2"/>
  <c r="S27" i="2"/>
  <c r="T27" i="2"/>
  <c r="U27" i="2"/>
  <c r="V27" i="2"/>
  <c r="W27" i="2"/>
  <c r="O45" i="2"/>
  <c r="C27" i="1"/>
  <c r="F17" i="1"/>
  <c r="O30" i="2"/>
  <c r="O64" i="2"/>
  <c r="N19" i="2"/>
  <c r="N49" i="2"/>
  <c r="N53" i="2"/>
  <c r="P28" i="2"/>
  <c r="Q28" i="2"/>
  <c r="R28" i="2"/>
  <c r="S28" i="2"/>
  <c r="T28" i="2"/>
  <c r="U28" i="2"/>
  <c r="V28" i="2"/>
  <c r="W28" i="2"/>
  <c r="X28" i="2"/>
  <c r="O44" i="2"/>
  <c r="O31" i="2"/>
  <c r="D24" i="4"/>
  <c r="G23" i="4"/>
  <c r="R29" i="2"/>
  <c r="S29" i="2"/>
  <c r="T29" i="2"/>
  <c r="U29" i="2"/>
  <c r="V29" i="2"/>
  <c r="W29" i="2"/>
  <c r="X29" i="2"/>
  <c r="Y29" i="2"/>
  <c r="C28" i="1"/>
  <c r="D18" i="1"/>
  <c r="E18" i="1"/>
  <c r="F18" i="1"/>
  <c r="G18" i="1"/>
  <c r="J18" i="1"/>
  <c r="AE20" i="2" a="1"/>
  <c r="O53" i="2"/>
  <c r="P53" i="2"/>
  <c r="O67" i="2"/>
  <c r="P67" i="2"/>
  <c r="P31" i="2"/>
  <c r="Q31" i="2"/>
  <c r="R31" i="2"/>
  <c r="S31" i="2"/>
  <c r="T31" i="2"/>
  <c r="U31" i="2"/>
  <c r="V31" i="2"/>
  <c r="W31" i="2"/>
  <c r="X31" i="2"/>
  <c r="Y31" i="2"/>
  <c r="Z31" i="2"/>
  <c r="P32" i="2"/>
  <c r="P47" i="2"/>
  <c r="P35" i="2"/>
  <c r="P49" i="2"/>
  <c r="P30" i="2"/>
  <c r="Q30" i="2"/>
  <c r="R30" i="2"/>
  <c r="S30" i="2"/>
  <c r="T30" i="2"/>
  <c r="U30" i="2"/>
  <c r="V30" i="2"/>
  <c r="W30" i="2"/>
  <c r="X30" i="2"/>
  <c r="Y30" i="2"/>
  <c r="Z30" i="2"/>
  <c r="O46" i="2"/>
  <c r="O35" i="2"/>
  <c r="O19" i="2"/>
  <c r="I23" i="4"/>
  <c r="C29" i="1"/>
  <c r="G19" i="1"/>
  <c r="J19" i="1"/>
  <c r="D19" i="1"/>
  <c r="E19" i="1"/>
  <c r="F19" i="1"/>
  <c r="O49" i="2"/>
  <c r="AF20" i="2" a="1"/>
  <c r="AE23" i="2"/>
  <c r="AE24" i="2"/>
  <c r="AE20" i="2"/>
  <c r="AE26" i="2"/>
  <c r="AE30" i="2"/>
  <c r="AE31" i="2"/>
  <c r="AE25" i="2"/>
  <c r="AE27" i="2"/>
  <c r="AE29" i="2"/>
  <c r="AE22" i="2"/>
  <c r="AE28" i="2"/>
  <c r="AE21" i="2"/>
  <c r="G24" i="4"/>
  <c r="M24" i="4"/>
  <c r="D25" i="4"/>
  <c r="J24" i="4"/>
  <c r="C30" i="1"/>
  <c r="G20" i="1"/>
  <c r="J20" i="1"/>
  <c r="D20" i="1"/>
  <c r="E20" i="1"/>
  <c r="F20" i="1"/>
  <c r="AF22" i="2"/>
  <c r="AF28" i="2"/>
  <c r="AF31" i="2"/>
  <c r="AF23" i="2"/>
  <c r="AF25" i="2"/>
  <c r="AF20" i="2"/>
  <c r="AF21" i="2"/>
  <c r="AF29" i="2"/>
  <c r="AF24" i="2"/>
  <c r="AF27" i="2"/>
  <c r="AF26" i="2"/>
  <c r="AF30" i="2"/>
  <c r="AK28" i="2"/>
  <c r="AK29" i="2"/>
  <c r="AK24" i="2"/>
  <c r="AK23" i="2"/>
  <c r="AK27" i="2"/>
  <c r="AK26" i="2"/>
  <c r="AK22" i="2"/>
  <c r="AK21" i="2"/>
  <c r="AK25" i="2"/>
  <c r="AK30" i="2"/>
  <c r="AM31" i="2"/>
  <c r="AO31" i="2"/>
  <c r="AE32" i="2"/>
  <c r="I24" i="4"/>
  <c r="L24" i="4"/>
  <c r="O24" i="4"/>
  <c r="P24" i="4"/>
  <c r="Q24" i="4"/>
  <c r="R24" i="4"/>
  <c r="C31" i="1"/>
  <c r="G21" i="1"/>
  <c r="J21" i="1"/>
  <c r="D21" i="1"/>
  <c r="E21" i="1"/>
  <c r="F21" i="1"/>
  <c r="AK31" i="2"/>
  <c r="AD26" i="2"/>
  <c r="AB26" i="2"/>
  <c r="AD21" i="2"/>
  <c r="AJ21" i="2"/>
  <c r="AB21" i="2"/>
  <c r="AD31" i="2"/>
  <c r="AB31" i="2"/>
  <c r="AD27" i="2"/>
  <c r="AB27" i="2"/>
  <c r="AD20" i="2"/>
  <c r="AJ20" i="2"/>
  <c r="AB20" i="2"/>
  <c r="AD28" i="2"/>
  <c r="AB28" i="2"/>
  <c r="AP31" i="2"/>
  <c r="AQ31" i="2"/>
  <c r="AR31" i="2"/>
  <c r="AG32" i="2"/>
  <c r="AK32" i="2"/>
  <c r="AJ19" i="2"/>
  <c r="AB19" i="2"/>
  <c r="AD24" i="2"/>
  <c r="AJ24" i="2"/>
  <c r="AB24" i="2"/>
  <c r="AD25" i="2"/>
  <c r="AJ25" i="2"/>
  <c r="AB25" i="2"/>
  <c r="AD22" i="2"/>
  <c r="AJ22" i="2"/>
  <c r="AB22" i="2"/>
  <c r="AD30" i="2"/>
  <c r="AB30" i="2"/>
  <c r="AD29" i="2"/>
  <c r="AB29" i="2"/>
  <c r="AD23" i="2"/>
  <c r="AJ23" i="2"/>
  <c r="AB23" i="2"/>
  <c r="AK20" i="2"/>
  <c r="G25" i="4"/>
  <c r="D26" i="4"/>
  <c r="AJ26" i="2"/>
  <c r="C32" i="1"/>
  <c r="D22" i="1"/>
  <c r="E22" i="1"/>
  <c r="F22" i="1"/>
  <c r="G22" i="1"/>
  <c r="J22" i="1"/>
  <c r="I25" i="4"/>
  <c r="I5" i="4"/>
  <c r="K24" i="4"/>
  <c r="AJ27" i="2"/>
  <c r="C33" i="1"/>
  <c r="D23" i="1"/>
  <c r="E23" i="1"/>
  <c r="F23" i="1"/>
  <c r="G23" i="1"/>
  <c r="J23" i="1"/>
  <c r="D27" i="4"/>
  <c r="G26" i="4"/>
  <c r="AJ28" i="2"/>
  <c r="C34" i="1"/>
  <c r="K24" i="1"/>
  <c r="D24" i="1"/>
  <c r="G24" i="1"/>
  <c r="I26" i="4"/>
  <c r="AJ29" i="2"/>
  <c r="C35" i="1"/>
  <c r="E24" i="1"/>
  <c r="M24" i="1"/>
  <c r="N24" i="1"/>
  <c r="J24" i="1"/>
  <c r="G27" i="4"/>
  <c r="D28" i="4"/>
  <c r="AJ31" i="2"/>
  <c r="AJ12" i="2"/>
  <c r="C36" i="1"/>
  <c r="P24" i="1"/>
  <c r="Q24" i="1"/>
  <c r="R24" i="1"/>
  <c r="S24" i="1"/>
  <c r="L24" i="1"/>
  <c r="F24" i="1"/>
  <c r="O24" i="1"/>
  <c r="I27" i="4"/>
  <c r="AJ11" i="2"/>
  <c r="C37" i="1"/>
  <c r="D25" i="1"/>
  <c r="G25" i="1"/>
  <c r="J25" i="1"/>
  <c r="G28" i="4"/>
  <c r="D29" i="4"/>
  <c r="C38" i="1"/>
  <c r="E25" i="1"/>
  <c r="I28" i="4"/>
  <c r="D30" i="4"/>
  <c r="C39" i="1"/>
  <c r="F25" i="1"/>
  <c r="I29" i="4"/>
  <c r="G29" i="4"/>
  <c r="C40" i="1"/>
  <c r="G26" i="1"/>
  <c r="J26" i="1"/>
  <c r="D26" i="1"/>
  <c r="C41" i="1"/>
  <c r="E26" i="1"/>
  <c r="D31" i="4"/>
  <c r="G30" i="4"/>
  <c r="C42" i="1"/>
  <c r="F26" i="1"/>
  <c r="I30" i="4"/>
  <c r="D32" i="4"/>
  <c r="C43" i="1"/>
  <c r="G27" i="1"/>
  <c r="J27" i="1"/>
  <c r="D27" i="1"/>
  <c r="I31" i="4"/>
  <c r="G31" i="4"/>
  <c r="D33" i="4"/>
  <c r="C44" i="1"/>
  <c r="E27" i="1"/>
  <c r="I32" i="4"/>
  <c r="G32" i="4"/>
  <c r="G33" i="4"/>
  <c r="C45" i="1"/>
  <c r="F27" i="1"/>
  <c r="D34" i="4"/>
  <c r="C46" i="1"/>
  <c r="D28" i="1"/>
  <c r="G28" i="1"/>
  <c r="J28" i="1"/>
  <c r="I33" i="4"/>
  <c r="C47" i="1"/>
  <c r="E28" i="1"/>
  <c r="D35" i="4"/>
  <c r="G34" i="4"/>
  <c r="C48" i="1"/>
  <c r="F28" i="1"/>
  <c r="I34" i="4"/>
  <c r="C49" i="1"/>
  <c r="G29" i="1"/>
  <c r="J29" i="1"/>
  <c r="D29" i="1"/>
  <c r="G35" i="4"/>
  <c r="D36" i="4"/>
  <c r="N36" i="4"/>
  <c r="C50" i="1"/>
  <c r="E29" i="1"/>
  <c r="I35" i="4"/>
  <c r="C51" i="1"/>
  <c r="F29" i="1"/>
  <c r="G36" i="4"/>
  <c r="M36" i="4"/>
  <c r="D37" i="4"/>
  <c r="J36" i="4"/>
  <c r="C52" i="1"/>
  <c r="G30" i="1"/>
  <c r="J30" i="1"/>
  <c r="D30" i="1"/>
  <c r="E30" i="1"/>
  <c r="F30" i="1"/>
  <c r="I36" i="4"/>
  <c r="L36" i="4"/>
  <c r="O36" i="4"/>
  <c r="P36" i="4"/>
  <c r="Q36" i="4"/>
  <c r="R36" i="4"/>
  <c r="C53" i="1"/>
  <c r="G31" i="1"/>
  <c r="J31" i="1"/>
  <c r="D31" i="1"/>
  <c r="E31" i="1"/>
  <c r="F31" i="1"/>
  <c r="D38" i="4"/>
  <c r="G37" i="4"/>
  <c r="K36" i="4"/>
  <c r="C54" i="1"/>
  <c r="D32" i="1"/>
  <c r="E32" i="1"/>
  <c r="F32" i="1"/>
  <c r="G32" i="1"/>
  <c r="J32" i="1"/>
  <c r="I37" i="4"/>
  <c r="C55" i="1"/>
  <c r="D33" i="1"/>
  <c r="E33" i="1"/>
  <c r="F33" i="1"/>
  <c r="G33" i="1"/>
  <c r="J33" i="1"/>
  <c r="D39" i="4"/>
  <c r="G38" i="4"/>
  <c r="C56" i="1"/>
  <c r="D34" i="1"/>
  <c r="E34" i="1"/>
  <c r="F34" i="1"/>
  <c r="G34" i="1"/>
  <c r="J34" i="1"/>
  <c r="I38" i="4"/>
  <c r="G39" i="4"/>
  <c r="C57" i="1"/>
  <c r="G35" i="1"/>
  <c r="J35" i="1"/>
  <c r="D35" i="1"/>
  <c r="E35" i="1"/>
  <c r="F35" i="1"/>
  <c r="C58" i="1"/>
  <c r="D36" i="1"/>
  <c r="G36" i="1"/>
  <c r="K36" i="1"/>
  <c r="I39" i="4"/>
  <c r="D40" i="4"/>
  <c r="C59" i="1"/>
  <c r="N36" i="1"/>
  <c r="J36" i="1"/>
  <c r="L36" i="1"/>
  <c r="E36" i="1"/>
  <c r="M36" i="1"/>
  <c r="D41" i="4"/>
  <c r="G40" i="4"/>
  <c r="C60" i="1"/>
  <c r="F36" i="1"/>
  <c r="O36" i="1"/>
  <c r="P36" i="1"/>
  <c r="Q36" i="1"/>
  <c r="R36" i="1"/>
  <c r="S36" i="1"/>
  <c r="I40" i="4"/>
  <c r="C61" i="1"/>
  <c r="G37" i="1"/>
  <c r="J37" i="1"/>
  <c r="D37" i="1"/>
  <c r="C62" i="1"/>
  <c r="E37" i="1"/>
  <c r="G41" i="4"/>
  <c r="D42" i="4"/>
  <c r="C63" i="1"/>
  <c r="F37" i="1"/>
  <c r="I41" i="4"/>
  <c r="C64" i="1"/>
  <c r="D38" i="1"/>
  <c r="G38" i="1"/>
  <c r="J38" i="1"/>
  <c r="C65" i="1"/>
  <c r="E38" i="1"/>
  <c r="D43" i="4"/>
  <c r="G42" i="4"/>
  <c r="C66" i="1"/>
  <c r="F38" i="1"/>
  <c r="I42" i="4"/>
  <c r="G43" i="4"/>
  <c r="D44" i="4"/>
  <c r="C67" i="1"/>
  <c r="G39" i="1"/>
  <c r="J39" i="1"/>
  <c r="D39" i="1"/>
  <c r="I43" i="4"/>
  <c r="G44" i="4"/>
  <c r="D45" i="4"/>
  <c r="C68" i="1"/>
  <c r="E39" i="1"/>
  <c r="I44" i="4"/>
  <c r="G45" i="4"/>
  <c r="C69" i="1"/>
  <c r="F39" i="1"/>
  <c r="I45" i="4"/>
  <c r="C70" i="1"/>
  <c r="D40" i="1"/>
  <c r="G40" i="1"/>
  <c r="J40" i="1"/>
  <c r="G46" i="4"/>
  <c r="D46" i="4"/>
  <c r="D47" i="4"/>
  <c r="C71" i="1"/>
  <c r="E40" i="1"/>
  <c r="G47" i="4"/>
  <c r="I46" i="4"/>
  <c r="D48" i="4"/>
  <c r="C72" i="1"/>
  <c r="F40" i="1"/>
  <c r="I47" i="4"/>
  <c r="C73" i="1"/>
  <c r="G41" i="1"/>
  <c r="J41" i="1"/>
  <c r="D41" i="1"/>
  <c r="D49" i="4"/>
  <c r="G48" i="4"/>
  <c r="M48" i="4"/>
  <c r="J48" i="4"/>
  <c r="N48" i="4"/>
  <c r="C74" i="1"/>
  <c r="E41" i="1"/>
  <c r="I48" i="4"/>
  <c r="D50" i="4"/>
  <c r="K48" i="4"/>
  <c r="L48" i="4"/>
  <c r="O48" i="4"/>
  <c r="P48" i="4"/>
  <c r="Q48" i="4"/>
  <c r="R48" i="4"/>
  <c r="C75" i="1"/>
  <c r="F41" i="1"/>
  <c r="G49" i="4"/>
  <c r="I49" i="4"/>
  <c r="C76" i="1"/>
  <c r="D42" i="1"/>
  <c r="E42" i="1"/>
  <c r="F42" i="1"/>
  <c r="G42" i="1"/>
  <c r="J42" i="1"/>
  <c r="C77" i="1"/>
  <c r="D43" i="1"/>
  <c r="E43" i="1"/>
  <c r="F43" i="1"/>
  <c r="G43" i="1"/>
  <c r="J43" i="1"/>
  <c r="D51" i="4"/>
  <c r="G50" i="4"/>
  <c r="C78" i="1"/>
  <c r="G44" i="1"/>
  <c r="J44" i="1"/>
  <c r="D44" i="1"/>
  <c r="E44" i="1"/>
  <c r="F44" i="1"/>
  <c r="I50" i="4"/>
  <c r="C79" i="1"/>
  <c r="D45" i="1"/>
  <c r="E45" i="1"/>
  <c r="F45" i="1"/>
  <c r="G45" i="1"/>
  <c r="J45" i="1"/>
  <c r="C80" i="1"/>
  <c r="G46" i="1"/>
  <c r="J46" i="1"/>
  <c r="D46" i="1"/>
  <c r="E46" i="1"/>
  <c r="F46" i="1"/>
  <c r="G51" i="4"/>
  <c r="D52" i="4"/>
  <c r="C81" i="1"/>
  <c r="G47" i="1"/>
  <c r="J47" i="1"/>
  <c r="D47" i="1"/>
  <c r="E47" i="1"/>
  <c r="F47" i="1"/>
  <c r="I51" i="4"/>
  <c r="C82" i="1"/>
  <c r="D48" i="1"/>
  <c r="G48" i="1"/>
  <c r="K48" i="1"/>
  <c r="C83" i="1"/>
  <c r="N48" i="1"/>
  <c r="J48" i="1"/>
  <c r="L48" i="1"/>
  <c r="E48" i="1"/>
  <c r="M48" i="1"/>
  <c r="D53" i="4"/>
  <c r="G52" i="4"/>
  <c r="C84" i="1"/>
  <c r="F48" i="1"/>
  <c r="O48" i="1"/>
  <c r="P48" i="1"/>
  <c r="Q48" i="1"/>
  <c r="R48" i="1"/>
  <c r="S48" i="1"/>
  <c r="I52" i="4"/>
  <c r="C85" i="1"/>
  <c r="G49" i="1"/>
  <c r="J49" i="1"/>
  <c r="D49" i="1"/>
  <c r="C86" i="1"/>
  <c r="E49" i="1"/>
  <c r="G53" i="4"/>
  <c r="D54" i="4"/>
  <c r="C87" i="1"/>
  <c r="F49" i="1"/>
  <c r="I53" i="4"/>
  <c r="C88" i="1"/>
  <c r="G50" i="1"/>
  <c r="J50" i="1"/>
  <c r="D50" i="1"/>
  <c r="C89" i="1"/>
  <c r="E50" i="1"/>
  <c r="D55" i="4"/>
  <c r="G54" i="4"/>
  <c r="C90" i="1"/>
  <c r="F50" i="1"/>
  <c r="I54" i="4"/>
  <c r="D56" i="4"/>
  <c r="G55" i="4"/>
  <c r="C91" i="1"/>
  <c r="D51" i="1"/>
  <c r="G51" i="1"/>
  <c r="J51" i="1"/>
  <c r="I55" i="4"/>
  <c r="G56" i="4"/>
  <c r="C92" i="1"/>
  <c r="E51" i="1"/>
  <c r="C93" i="1"/>
  <c r="F51" i="1"/>
  <c r="I56" i="4"/>
  <c r="D57" i="4"/>
  <c r="C94" i="1"/>
  <c r="G52" i="1"/>
  <c r="J52" i="1"/>
  <c r="D52" i="1"/>
  <c r="G57" i="4"/>
  <c r="C95" i="1"/>
  <c r="C96" i="1"/>
  <c r="C97" i="1"/>
  <c r="C98" i="1"/>
  <c r="E52" i="1"/>
  <c r="D58" i="4"/>
  <c r="I57" i="4"/>
  <c r="C99" i="1"/>
  <c r="F52" i="1"/>
  <c r="G58" i="4"/>
  <c r="C100" i="1"/>
  <c r="C101" i="1"/>
  <c r="G53" i="1"/>
  <c r="J53" i="1"/>
  <c r="D53" i="1"/>
  <c r="D59" i="4"/>
  <c r="I58" i="4"/>
  <c r="N60" i="4"/>
  <c r="C102" i="1"/>
  <c r="E53" i="1"/>
  <c r="G59" i="4"/>
  <c r="C103" i="1"/>
  <c r="F53" i="1"/>
  <c r="D60" i="4"/>
  <c r="I59" i="4"/>
  <c r="C104" i="1"/>
  <c r="D54" i="1"/>
  <c r="E54" i="1"/>
  <c r="F54" i="1"/>
  <c r="G54" i="1"/>
  <c r="J54" i="1"/>
  <c r="G60" i="4"/>
  <c r="M60" i="4"/>
  <c r="J60" i="4"/>
  <c r="C105" i="1"/>
  <c r="D55" i="1"/>
  <c r="E55" i="1"/>
  <c r="F55" i="1"/>
  <c r="G55" i="1"/>
  <c r="J55" i="1"/>
  <c r="I60" i="4"/>
  <c r="L60" i="4"/>
  <c r="O60" i="4"/>
  <c r="P60" i="4"/>
  <c r="Q60" i="4"/>
  <c r="R60" i="4"/>
  <c r="C106" i="1"/>
  <c r="G56" i="1"/>
  <c r="J56" i="1"/>
  <c r="D56" i="1"/>
  <c r="E56" i="1"/>
  <c r="F56" i="1"/>
  <c r="I6" i="4"/>
  <c r="K60" i="4"/>
  <c r="C107" i="1"/>
  <c r="G57" i="1"/>
  <c r="J57" i="1"/>
  <c r="D57" i="1"/>
  <c r="E57" i="1"/>
  <c r="F57" i="1"/>
  <c r="C108" i="1"/>
  <c r="G58" i="1"/>
  <c r="J58" i="1"/>
  <c r="D58" i="1"/>
  <c r="E58" i="1"/>
  <c r="F58" i="1"/>
  <c r="C109" i="1"/>
  <c r="G59" i="1"/>
  <c r="J59" i="1"/>
  <c r="D59" i="1"/>
  <c r="E59" i="1"/>
  <c r="F59" i="1"/>
  <c r="C110" i="1"/>
  <c r="G60" i="1"/>
  <c r="D60" i="1"/>
  <c r="K60" i="1"/>
  <c r="C111" i="1"/>
  <c r="E60" i="1"/>
  <c r="M60" i="1"/>
  <c r="N60" i="1"/>
  <c r="J60" i="1"/>
  <c r="L60" i="1"/>
  <c r="C112" i="1"/>
  <c r="P60" i="1"/>
  <c r="Q60" i="1"/>
  <c r="R60" i="1"/>
  <c r="S60" i="1"/>
  <c r="F60" i="1"/>
  <c r="O60" i="1"/>
  <c r="C113" i="1"/>
  <c r="D61" i="1"/>
  <c r="E61" i="1"/>
  <c r="F61" i="1"/>
  <c r="G61" i="1"/>
  <c r="J61" i="1"/>
  <c r="C114" i="1"/>
  <c r="D62" i="1"/>
  <c r="E62" i="1"/>
  <c r="F62" i="1"/>
  <c r="G62" i="1"/>
  <c r="J62" i="1"/>
  <c r="C115" i="1"/>
  <c r="D63" i="1"/>
  <c r="E63" i="1"/>
  <c r="F63" i="1"/>
  <c r="G63" i="1"/>
  <c r="J63" i="1"/>
  <c r="C116" i="1"/>
  <c r="G64" i="1"/>
  <c r="J64" i="1"/>
  <c r="D64" i="1"/>
  <c r="E64" i="1"/>
  <c r="F64" i="1"/>
  <c r="C117" i="1"/>
  <c r="D65" i="1"/>
  <c r="E65" i="1"/>
  <c r="F65" i="1"/>
  <c r="G65" i="1"/>
  <c r="J65" i="1"/>
  <c r="C118" i="1"/>
  <c r="G66" i="1"/>
  <c r="J66" i="1"/>
  <c r="D66" i="1"/>
  <c r="E66" i="1"/>
  <c r="F66" i="1"/>
  <c r="C119" i="1"/>
  <c r="G67" i="1"/>
  <c r="J67" i="1"/>
  <c r="D67" i="1"/>
  <c r="E67" i="1"/>
  <c r="F67" i="1"/>
  <c r="C120" i="1"/>
  <c r="G68" i="1"/>
  <c r="J68" i="1"/>
  <c r="D68" i="1"/>
  <c r="E68" i="1"/>
  <c r="F68" i="1"/>
  <c r="C121" i="1"/>
  <c r="G69" i="1"/>
  <c r="J69" i="1"/>
  <c r="D69" i="1"/>
  <c r="E69" i="1"/>
  <c r="F69" i="1"/>
  <c r="C122" i="1"/>
  <c r="G70" i="1"/>
  <c r="J70" i="1"/>
  <c r="D70" i="1"/>
  <c r="E70" i="1"/>
  <c r="F70" i="1"/>
  <c r="C123" i="1"/>
  <c r="D71" i="1"/>
  <c r="E71" i="1"/>
  <c r="F71" i="1"/>
  <c r="G71" i="1"/>
  <c r="J71" i="1"/>
  <c r="C124" i="1"/>
  <c r="D72" i="1"/>
  <c r="E72" i="1"/>
  <c r="F72" i="1"/>
  <c r="G72" i="1"/>
  <c r="J72" i="1"/>
  <c r="C125" i="1"/>
  <c r="D73" i="1"/>
  <c r="E73" i="1"/>
  <c r="F73" i="1"/>
  <c r="G73" i="1"/>
  <c r="J73" i="1"/>
  <c r="AJ13" i="2"/>
  <c r="C126" i="1"/>
  <c r="G74" i="1"/>
  <c r="J74" i="1"/>
  <c r="D74" i="1"/>
  <c r="E74" i="1"/>
  <c r="F74" i="1"/>
  <c r="I7" i="4"/>
  <c r="C127" i="1"/>
  <c r="G75" i="1"/>
  <c r="J75" i="1"/>
  <c r="D75" i="1"/>
  <c r="E75" i="1"/>
  <c r="F75" i="1"/>
  <c r="C128" i="1"/>
  <c r="G76" i="1"/>
  <c r="J76" i="1"/>
  <c r="D76" i="1"/>
  <c r="E76" i="1"/>
  <c r="F76" i="1"/>
  <c r="C129" i="1"/>
  <c r="D77" i="1"/>
  <c r="E77" i="1"/>
  <c r="F77" i="1"/>
  <c r="G77" i="1"/>
  <c r="J77" i="1"/>
  <c r="C130" i="1"/>
  <c r="D78" i="1"/>
  <c r="E78" i="1"/>
  <c r="F78" i="1"/>
  <c r="G78" i="1"/>
  <c r="J78" i="1"/>
  <c r="C131" i="1"/>
  <c r="D79" i="1"/>
  <c r="E79" i="1"/>
  <c r="F79" i="1"/>
  <c r="G79" i="1"/>
  <c r="J79" i="1"/>
  <c r="C132" i="1"/>
  <c r="D80" i="1"/>
  <c r="E80" i="1"/>
  <c r="F80" i="1"/>
  <c r="G80" i="1"/>
  <c r="J80" i="1"/>
  <c r="C133" i="1"/>
  <c r="G81" i="1"/>
  <c r="J81" i="1"/>
  <c r="D81" i="1"/>
  <c r="E81" i="1"/>
  <c r="F81" i="1"/>
  <c r="C134" i="1"/>
  <c r="G82" i="1"/>
  <c r="J82" i="1"/>
  <c r="D82" i="1"/>
  <c r="E82" i="1"/>
  <c r="F82" i="1"/>
  <c r="C135" i="1"/>
  <c r="D83" i="1"/>
  <c r="E83" i="1"/>
  <c r="F83" i="1"/>
  <c r="G83" i="1"/>
  <c r="J83" i="1"/>
  <c r="C136" i="1"/>
  <c r="G84" i="1"/>
  <c r="J84" i="1"/>
  <c r="D84" i="1"/>
  <c r="E84" i="1"/>
  <c r="F84" i="1"/>
  <c r="C137" i="1"/>
  <c r="G85" i="1"/>
  <c r="J85" i="1"/>
  <c r="D85" i="1"/>
  <c r="E85" i="1"/>
  <c r="F85" i="1"/>
  <c r="C138" i="1"/>
  <c r="G86" i="1"/>
  <c r="J86" i="1"/>
  <c r="D86" i="1"/>
  <c r="E86" i="1"/>
  <c r="F86" i="1"/>
  <c r="C139" i="1"/>
  <c r="G87" i="1"/>
  <c r="J87" i="1"/>
  <c r="D87" i="1"/>
  <c r="E87" i="1"/>
  <c r="F87" i="1"/>
  <c r="C140" i="1"/>
  <c r="D88" i="1"/>
  <c r="E88" i="1"/>
  <c r="F88" i="1"/>
  <c r="G88" i="1"/>
  <c r="J88" i="1"/>
  <c r="C141" i="1"/>
  <c r="D89" i="1"/>
  <c r="E89" i="1"/>
  <c r="F89" i="1"/>
  <c r="G89" i="1"/>
  <c r="J89" i="1"/>
  <c r="C142" i="1"/>
  <c r="D90" i="1"/>
  <c r="E90" i="1"/>
  <c r="F90" i="1"/>
  <c r="G90" i="1"/>
  <c r="J90" i="1"/>
  <c r="C143" i="1"/>
  <c r="D91" i="1"/>
  <c r="E91" i="1"/>
  <c r="F91" i="1"/>
  <c r="G91" i="1"/>
  <c r="J91" i="1"/>
  <c r="C144" i="1"/>
  <c r="D92" i="1"/>
  <c r="E92" i="1"/>
  <c r="F92" i="1"/>
  <c r="G92" i="1"/>
  <c r="J92" i="1"/>
  <c r="C145" i="1"/>
  <c r="D93" i="1"/>
  <c r="E93" i="1"/>
  <c r="F93" i="1"/>
  <c r="G93" i="1"/>
  <c r="J93" i="1"/>
  <c r="C146" i="1"/>
  <c r="G94" i="1"/>
  <c r="J94" i="1"/>
  <c r="D94" i="1"/>
  <c r="E94" i="1"/>
  <c r="F94" i="1"/>
  <c r="C147" i="1"/>
  <c r="G95" i="1"/>
  <c r="J95" i="1"/>
  <c r="D95" i="1"/>
  <c r="E95" i="1"/>
  <c r="F95" i="1"/>
  <c r="C148" i="1"/>
  <c r="G96" i="1"/>
  <c r="J96" i="1"/>
  <c r="D96" i="1"/>
  <c r="E96" i="1"/>
  <c r="F96" i="1"/>
  <c r="G97" i="1"/>
  <c r="J97" i="1"/>
  <c r="D97" i="1"/>
  <c r="E97" i="1"/>
  <c r="F97" i="1"/>
  <c r="C149" i="1"/>
  <c r="D98" i="1"/>
  <c r="E98" i="1"/>
  <c r="F98" i="1"/>
  <c r="G98" i="1"/>
  <c r="J98" i="1"/>
  <c r="C150" i="1"/>
  <c r="C151" i="1"/>
  <c r="G99" i="1"/>
  <c r="J99" i="1"/>
  <c r="D99" i="1"/>
  <c r="E99" i="1"/>
  <c r="F99" i="1"/>
  <c r="G100" i="1"/>
  <c r="J100" i="1"/>
  <c r="D100" i="1"/>
  <c r="E100" i="1"/>
  <c r="F100" i="1"/>
  <c r="C152" i="1"/>
  <c r="G101" i="1"/>
  <c r="J101" i="1"/>
  <c r="D101" i="1"/>
  <c r="E101" i="1"/>
  <c r="F101" i="1"/>
  <c r="C153" i="1"/>
  <c r="C154" i="1"/>
  <c r="G102" i="1"/>
  <c r="J102" i="1"/>
  <c r="D102" i="1"/>
  <c r="E102" i="1"/>
  <c r="F102" i="1"/>
  <c r="G103" i="1"/>
  <c r="J103" i="1"/>
  <c r="D103" i="1"/>
  <c r="E103" i="1"/>
  <c r="F103" i="1"/>
  <c r="C155" i="1"/>
  <c r="C156" i="1"/>
  <c r="C157" i="1"/>
  <c r="G104" i="1"/>
  <c r="J104" i="1"/>
  <c r="D104" i="1"/>
  <c r="E104" i="1"/>
  <c r="F104" i="1"/>
  <c r="C158" i="1"/>
  <c r="C159" i="1"/>
  <c r="G105" i="1"/>
  <c r="J105" i="1"/>
  <c r="D105" i="1"/>
  <c r="E105" i="1"/>
  <c r="F105" i="1"/>
  <c r="C160" i="1"/>
  <c r="C161" i="1"/>
  <c r="G106" i="1"/>
  <c r="J106" i="1"/>
  <c r="D106" i="1"/>
  <c r="E106" i="1"/>
  <c r="F106" i="1"/>
  <c r="C162" i="1"/>
  <c r="C163" i="1"/>
  <c r="G107" i="1"/>
  <c r="J107" i="1"/>
  <c r="D107" i="1"/>
  <c r="E107" i="1"/>
  <c r="F107" i="1"/>
  <c r="C164" i="1"/>
  <c r="C165" i="1"/>
  <c r="G108" i="1"/>
  <c r="J108" i="1"/>
  <c r="D108" i="1"/>
  <c r="E108" i="1"/>
  <c r="F108" i="1"/>
  <c r="C166" i="1"/>
  <c r="C167" i="1"/>
  <c r="G109" i="1"/>
  <c r="J109" i="1"/>
  <c r="D109" i="1"/>
  <c r="E109" i="1"/>
  <c r="F109" i="1"/>
  <c r="C168" i="1"/>
  <c r="C169" i="1"/>
  <c r="G110" i="1"/>
  <c r="J110" i="1"/>
  <c r="D110" i="1"/>
  <c r="E110" i="1"/>
  <c r="F110" i="1"/>
  <c r="C170" i="1"/>
  <c r="C171" i="1"/>
  <c r="G111" i="1"/>
  <c r="J111" i="1"/>
  <c r="D111" i="1"/>
  <c r="E111" i="1"/>
  <c r="F111" i="1"/>
  <c r="C172" i="1"/>
  <c r="C173" i="1"/>
  <c r="G112" i="1"/>
  <c r="J112" i="1"/>
  <c r="D112" i="1"/>
  <c r="E112" i="1"/>
  <c r="F112" i="1"/>
  <c r="C174" i="1"/>
  <c r="C175" i="1"/>
  <c r="G113" i="1"/>
  <c r="J113" i="1"/>
  <c r="D113" i="1"/>
  <c r="E113" i="1"/>
  <c r="F113" i="1"/>
  <c r="C176" i="1"/>
  <c r="C177" i="1"/>
  <c r="G114" i="1"/>
  <c r="J114" i="1"/>
  <c r="D114" i="1"/>
  <c r="E114" i="1"/>
  <c r="F114" i="1"/>
  <c r="C178" i="1"/>
  <c r="C179" i="1"/>
  <c r="G115" i="1"/>
  <c r="J115" i="1"/>
  <c r="D115" i="1"/>
  <c r="E115" i="1"/>
  <c r="F115" i="1"/>
  <c r="C180" i="1"/>
  <c r="C181" i="1"/>
  <c r="G116" i="1"/>
  <c r="J116" i="1"/>
  <c r="D116" i="1"/>
  <c r="E116" i="1"/>
  <c r="F116" i="1"/>
  <c r="C182" i="1"/>
  <c r="C183" i="1"/>
  <c r="G117" i="1"/>
  <c r="J117" i="1"/>
  <c r="D117" i="1"/>
  <c r="E117" i="1"/>
  <c r="F117" i="1"/>
  <c r="C184" i="1"/>
  <c r="C185" i="1"/>
  <c r="G118" i="1"/>
  <c r="J118" i="1"/>
  <c r="D118" i="1"/>
  <c r="E118" i="1"/>
  <c r="F118" i="1"/>
  <c r="C186" i="1"/>
  <c r="C187" i="1"/>
  <c r="G119" i="1"/>
  <c r="J119" i="1"/>
  <c r="D119" i="1"/>
  <c r="E119" i="1"/>
  <c r="F119" i="1"/>
  <c r="C188" i="1"/>
  <c r="G120" i="1"/>
  <c r="J120" i="1"/>
  <c r="D120" i="1"/>
  <c r="E120" i="1"/>
  <c r="F120" i="1"/>
  <c r="C189" i="1"/>
  <c r="G121" i="1"/>
  <c r="J121" i="1"/>
  <c r="D121" i="1"/>
  <c r="E121" i="1"/>
  <c r="F121" i="1"/>
  <c r="G122" i="1"/>
  <c r="J122" i="1"/>
  <c r="D122" i="1"/>
  <c r="E122" i="1"/>
  <c r="F122" i="1"/>
  <c r="C190" i="1"/>
  <c r="C191" i="1"/>
  <c r="G123" i="1"/>
  <c r="J123" i="1"/>
  <c r="D123" i="1"/>
  <c r="E123" i="1"/>
  <c r="F123" i="1"/>
  <c r="G124" i="1"/>
  <c r="J124" i="1"/>
  <c r="D124" i="1"/>
  <c r="E124" i="1"/>
  <c r="F124" i="1"/>
  <c r="C192" i="1"/>
  <c r="G125" i="1"/>
  <c r="J125" i="1"/>
  <c r="D125" i="1"/>
  <c r="E125" i="1"/>
  <c r="F125" i="1"/>
  <c r="G126" i="1"/>
  <c r="J126" i="1"/>
  <c r="D126" i="1"/>
  <c r="E126" i="1"/>
  <c r="F126" i="1"/>
  <c r="G127" i="1"/>
  <c r="J127" i="1"/>
  <c r="D127" i="1"/>
  <c r="E127" i="1"/>
  <c r="F127" i="1"/>
  <c r="G128" i="1"/>
  <c r="J128" i="1"/>
  <c r="D128" i="1"/>
  <c r="E128" i="1"/>
  <c r="F128" i="1"/>
  <c r="G129" i="1"/>
  <c r="J129" i="1"/>
  <c r="D129" i="1"/>
  <c r="E129" i="1"/>
  <c r="F129" i="1"/>
  <c r="G130" i="1"/>
  <c r="J130" i="1"/>
  <c r="D130" i="1"/>
  <c r="E130" i="1"/>
  <c r="F130" i="1"/>
  <c r="G131" i="1"/>
  <c r="J131" i="1"/>
  <c r="D131" i="1"/>
  <c r="E131" i="1"/>
  <c r="F131" i="1"/>
  <c r="G132" i="1"/>
  <c r="J132" i="1"/>
  <c r="D132" i="1"/>
  <c r="E132" i="1"/>
  <c r="F132" i="1"/>
  <c r="G133" i="1"/>
  <c r="J133" i="1"/>
  <c r="D133" i="1"/>
  <c r="E133" i="1"/>
  <c r="F133" i="1"/>
  <c r="G134" i="1"/>
  <c r="J134" i="1"/>
  <c r="D134" i="1"/>
  <c r="E134" i="1"/>
  <c r="F134" i="1"/>
  <c r="G135" i="1"/>
  <c r="J135" i="1"/>
  <c r="D135" i="1"/>
  <c r="E135" i="1"/>
  <c r="F135" i="1"/>
  <c r="G136" i="1"/>
  <c r="J136" i="1"/>
  <c r="D136" i="1"/>
  <c r="E136" i="1"/>
  <c r="F136" i="1"/>
  <c r="D137" i="1"/>
  <c r="E137" i="1"/>
  <c r="F137" i="1"/>
  <c r="G137" i="1"/>
  <c r="J137" i="1"/>
  <c r="G138" i="1"/>
  <c r="J138" i="1"/>
  <c r="D138" i="1"/>
  <c r="E138" i="1"/>
  <c r="F138" i="1"/>
  <c r="G139" i="1"/>
  <c r="J139" i="1"/>
  <c r="D139" i="1"/>
  <c r="E139" i="1"/>
  <c r="F139" i="1"/>
  <c r="G140" i="1"/>
  <c r="J140" i="1"/>
  <c r="D140" i="1"/>
  <c r="E140" i="1"/>
  <c r="F140" i="1"/>
  <c r="G141" i="1"/>
  <c r="J141" i="1"/>
  <c r="D141" i="1"/>
  <c r="E141" i="1"/>
  <c r="F141" i="1"/>
  <c r="G142" i="1"/>
  <c r="J142" i="1"/>
  <c r="D142" i="1"/>
  <c r="E142" i="1"/>
  <c r="F142" i="1"/>
  <c r="D143" i="1"/>
  <c r="E143" i="1"/>
  <c r="F143" i="1"/>
  <c r="G143" i="1"/>
  <c r="J143" i="1"/>
  <c r="G144" i="1"/>
  <c r="J144" i="1"/>
  <c r="D144" i="1"/>
  <c r="E144" i="1"/>
  <c r="F144" i="1"/>
  <c r="D145" i="1"/>
  <c r="E145" i="1"/>
  <c r="F145" i="1"/>
  <c r="G145" i="1"/>
  <c r="J145" i="1"/>
  <c r="G146" i="1"/>
  <c r="J146" i="1"/>
  <c r="D146" i="1"/>
  <c r="E146" i="1"/>
  <c r="F146" i="1"/>
  <c r="G147" i="1"/>
  <c r="J147" i="1"/>
  <c r="D147" i="1"/>
  <c r="E147" i="1"/>
  <c r="F147" i="1"/>
  <c r="G148" i="1"/>
  <c r="J148" i="1"/>
  <c r="D148" i="1"/>
  <c r="E148" i="1"/>
  <c r="F148" i="1"/>
  <c r="G149" i="1"/>
  <c r="J149" i="1"/>
  <c r="D149" i="1"/>
  <c r="E149" i="1"/>
  <c r="F149" i="1"/>
  <c r="G150" i="1"/>
  <c r="J150" i="1"/>
  <c r="D150" i="1"/>
  <c r="E150" i="1"/>
  <c r="F150" i="1"/>
  <c r="D151" i="1"/>
  <c r="E151" i="1"/>
  <c r="F151" i="1"/>
  <c r="G151" i="1"/>
  <c r="J151" i="1"/>
  <c r="G152" i="1"/>
  <c r="J152" i="1"/>
  <c r="D152" i="1"/>
  <c r="E152" i="1"/>
  <c r="F152" i="1"/>
  <c r="D153" i="1"/>
  <c r="E153" i="1"/>
  <c r="F153" i="1"/>
  <c r="G153" i="1"/>
  <c r="J153" i="1"/>
  <c r="G154" i="1"/>
  <c r="J154" i="1"/>
  <c r="D154" i="1"/>
  <c r="E154" i="1"/>
  <c r="F154" i="1"/>
  <c r="G155" i="1"/>
  <c r="J155" i="1"/>
  <c r="D155" i="1"/>
  <c r="E155" i="1"/>
  <c r="F155" i="1"/>
  <c r="G156" i="1"/>
  <c r="J156" i="1"/>
  <c r="D156" i="1"/>
  <c r="E156" i="1"/>
  <c r="F156" i="1"/>
  <c r="D157" i="1"/>
  <c r="E157" i="1"/>
  <c r="F157" i="1"/>
  <c r="G157" i="1"/>
  <c r="J157" i="1"/>
  <c r="G158" i="1"/>
  <c r="J158" i="1"/>
  <c r="D158" i="1"/>
  <c r="E158" i="1"/>
  <c r="F158" i="1"/>
  <c r="D159" i="1"/>
  <c r="E159" i="1"/>
  <c r="F159" i="1"/>
  <c r="G159" i="1"/>
  <c r="J159" i="1"/>
  <c r="G160" i="1"/>
  <c r="J160" i="1"/>
  <c r="D160" i="1"/>
  <c r="E160" i="1"/>
  <c r="F160" i="1"/>
  <c r="D161" i="1"/>
  <c r="E161" i="1"/>
  <c r="F161" i="1"/>
  <c r="G161" i="1"/>
  <c r="J161" i="1"/>
  <c r="G162" i="1"/>
  <c r="J162" i="1"/>
  <c r="D162" i="1"/>
  <c r="E162" i="1"/>
  <c r="F162" i="1"/>
  <c r="D163" i="1"/>
  <c r="E163" i="1"/>
  <c r="F163" i="1"/>
  <c r="G163" i="1"/>
  <c r="J163" i="1"/>
  <c r="G164" i="1"/>
  <c r="J164" i="1"/>
  <c r="D164" i="1"/>
  <c r="E164" i="1"/>
  <c r="F164" i="1"/>
  <c r="D165" i="1"/>
  <c r="E165" i="1"/>
  <c r="F165" i="1"/>
  <c r="G165" i="1"/>
  <c r="J165" i="1"/>
  <c r="G166" i="1"/>
  <c r="J166" i="1"/>
  <c r="D166" i="1"/>
  <c r="E166" i="1"/>
  <c r="F166" i="1"/>
  <c r="D167" i="1"/>
  <c r="E167" i="1"/>
  <c r="F167" i="1"/>
  <c r="G167" i="1"/>
  <c r="J167" i="1"/>
  <c r="G168" i="1"/>
  <c r="J168" i="1"/>
  <c r="D168" i="1"/>
  <c r="E168" i="1"/>
  <c r="F168" i="1"/>
  <c r="D169" i="1"/>
  <c r="E169" i="1"/>
  <c r="F169" i="1"/>
  <c r="G169" i="1"/>
  <c r="J169" i="1"/>
  <c r="G170" i="1"/>
  <c r="J170" i="1"/>
  <c r="D170" i="1"/>
  <c r="E170" i="1"/>
  <c r="F170" i="1"/>
  <c r="D171" i="1"/>
  <c r="E171" i="1"/>
  <c r="F171" i="1"/>
  <c r="G171" i="1"/>
  <c r="J171" i="1"/>
  <c r="G172" i="1"/>
  <c r="J172" i="1"/>
  <c r="D172" i="1"/>
  <c r="E172" i="1"/>
  <c r="F172" i="1"/>
  <c r="D173" i="1"/>
  <c r="E173" i="1"/>
  <c r="F173" i="1"/>
  <c r="G173" i="1"/>
  <c r="J173" i="1"/>
  <c r="G174" i="1"/>
  <c r="J174" i="1"/>
  <c r="D174" i="1"/>
  <c r="E174" i="1"/>
  <c r="F174" i="1"/>
  <c r="D175" i="1"/>
  <c r="E175" i="1"/>
  <c r="F175" i="1"/>
  <c r="G175" i="1"/>
  <c r="J175" i="1"/>
  <c r="G176" i="1"/>
  <c r="J176" i="1"/>
  <c r="D176" i="1"/>
  <c r="E176" i="1"/>
  <c r="F176" i="1"/>
  <c r="D177" i="1"/>
  <c r="E177" i="1"/>
  <c r="F177" i="1"/>
  <c r="G177" i="1"/>
  <c r="J177" i="1"/>
  <c r="G178" i="1"/>
  <c r="J178" i="1"/>
  <c r="D178" i="1"/>
  <c r="E178" i="1"/>
  <c r="F178" i="1"/>
  <c r="D179" i="1"/>
  <c r="E179" i="1"/>
  <c r="F179" i="1"/>
  <c r="G179" i="1"/>
  <c r="J179" i="1"/>
  <c r="G180" i="1"/>
  <c r="J180" i="1"/>
  <c r="D180" i="1"/>
  <c r="E180" i="1"/>
  <c r="F180" i="1"/>
  <c r="D181" i="1"/>
  <c r="E181" i="1"/>
  <c r="F181" i="1"/>
  <c r="G181" i="1"/>
  <c r="J181" i="1"/>
  <c r="G182" i="1"/>
  <c r="J182" i="1"/>
  <c r="D182" i="1"/>
  <c r="E182" i="1"/>
  <c r="F182" i="1"/>
  <c r="D183" i="1"/>
  <c r="E183" i="1"/>
  <c r="F183" i="1"/>
  <c r="G183" i="1"/>
  <c r="J183" i="1"/>
  <c r="G184" i="1"/>
  <c r="J184" i="1"/>
  <c r="D184" i="1"/>
  <c r="E184" i="1"/>
  <c r="F184" i="1"/>
  <c r="D185" i="1"/>
  <c r="E185" i="1"/>
  <c r="F185" i="1"/>
  <c r="G185" i="1"/>
  <c r="J185" i="1"/>
  <c r="G186" i="1"/>
  <c r="J186" i="1"/>
  <c r="D186" i="1"/>
  <c r="E186" i="1"/>
  <c r="F186" i="1"/>
  <c r="D187" i="1"/>
  <c r="E187" i="1"/>
  <c r="F187" i="1"/>
  <c r="G187" i="1"/>
  <c r="J187" i="1"/>
  <c r="G188" i="1"/>
  <c r="J188" i="1"/>
  <c r="D188" i="1"/>
  <c r="E188" i="1"/>
  <c r="F188" i="1"/>
  <c r="G189" i="1"/>
  <c r="J189" i="1"/>
  <c r="D189" i="1"/>
  <c r="E189" i="1"/>
  <c r="F189" i="1"/>
  <c r="D190" i="1"/>
  <c r="E190" i="1"/>
  <c r="F190" i="1"/>
  <c r="G190" i="1"/>
  <c r="J190" i="1"/>
  <c r="G191" i="1"/>
  <c r="J191" i="1"/>
  <c r="D191" i="1"/>
  <c r="E191" i="1"/>
  <c r="F191" i="1"/>
  <c r="G192" i="1"/>
  <c r="J192" i="1"/>
  <c r="J6" i="1"/>
  <c r="J7" i="1"/>
  <c r="D192" i="1"/>
  <c r="E192" i="1"/>
  <c r="F192" i="1"/>
  <c r="E29" i="14" l="1"/>
  <c r="A28" i="14"/>
  <c r="B27" i="14"/>
  <c r="H31" i="14"/>
  <c r="P32" i="14"/>
  <c r="J23" i="14"/>
  <c r="O23" i="14"/>
  <c r="I23" i="14"/>
  <c r="M23" i="14"/>
  <c r="B28" i="14" l="1"/>
  <c r="A29" i="14"/>
  <c r="E30" i="14"/>
  <c r="K23" i="14"/>
  <c r="H32" i="14"/>
  <c r="P33" i="14"/>
  <c r="E31" i="14" l="1"/>
  <c r="B29" i="14"/>
  <c r="A30" i="14"/>
  <c r="L23" i="14"/>
  <c r="P34" i="14"/>
  <c r="H33" i="14"/>
  <c r="A31" i="14" l="1"/>
  <c r="C31" i="14" s="1"/>
  <c r="D31" i="14" s="1"/>
  <c r="B30" i="14"/>
  <c r="E32" i="14"/>
  <c r="P35" i="14"/>
  <c r="H34" i="14"/>
  <c r="J24" i="14"/>
  <c r="O24" i="14"/>
  <c r="I24" i="14"/>
  <c r="M24" i="14"/>
  <c r="C32" i="14" l="1"/>
  <c r="D32" i="14" s="1"/>
  <c r="E33" i="14"/>
  <c r="A32" i="14"/>
  <c r="B31" i="14"/>
  <c r="C20" i="14"/>
  <c r="D20" i="14" s="1"/>
  <c r="N20" i="14" s="1"/>
  <c r="Q20" i="14" s="1"/>
  <c r="J11" i="11" s="1"/>
  <c r="C21" i="14"/>
  <c r="D21" i="14" s="1"/>
  <c r="N21" i="14" s="1"/>
  <c r="Q21" i="14" s="1"/>
  <c r="C22" i="14"/>
  <c r="D22" i="14" s="1"/>
  <c r="N22" i="14" s="1"/>
  <c r="Q22" i="14" s="1"/>
  <c r="C23" i="14"/>
  <c r="D23" i="14" s="1"/>
  <c r="N23" i="14" s="1"/>
  <c r="Q23" i="14" s="1"/>
  <c r="C24" i="14"/>
  <c r="D24" i="14" s="1"/>
  <c r="N24" i="14" s="1"/>
  <c r="Q24" i="14" s="1"/>
  <c r="C25" i="14"/>
  <c r="D25" i="14" s="1"/>
  <c r="C26" i="14"/>
  <c r="D26" i="14" s="1"/>
  <c r="C27" i="14"/>
  <c r="D27" i="14" s="1"/>
  <c r="C28" i="14"/>
  <c r="D28" i="14" s="1"/>
  <c r="C29" i="14"/>
  <c r="D29" i="14" s="1"/>
  <c r="C30" i="14"/>
  <c r="D30" i="14" s="1"/>
  <c r="H35" i="14"/>
  <c r="P36" i="14"/>
  <c r="K24" i="14"/>
  <c r="A33" i="14" l="1"/>
  <c r="B32" i="14"/>
  <c r="C33" i="14"/>
  <c r="D33" i="14" s="1"/>
  <c r="E34" i="14"/>
  <c r="L24" i="14"/>
  <c r="P37" i="14"/>
  <c r="H36" i="14"/>
  <c r="C34" i="14" l="1"/>
  <c r="D34" i="14" s="1"/>
  <c r="E35" i="14"/>
  <c r="A34" i="14"/>
  <c r="B33" i="14"/>
  <c r="M25" i="14"/>
  <c r="J25" i="14"/>
  <c r="O25" i="14"/>
  <c r="I25" i="14"/>
  <c r="N25" i="14"/>
  <c r="P38" i="14"/>
  <c r="H37" i="14"/>
  <c r="B34" i="14" l="1"/>
  <c r="A35" i="14"/>
  <c r="C35" i="14"/>
  <c r="D35" i="14" s="1"/>
  <c r="E36" i="14"/>
  <c r="K25" i="14"/>
  <c r="L25" i="14" s="1"/>
  <c r="I26" i="14" s="1"/>
  <c r="P39" i="14"/>
  <c r="H38" i="14"/>
  <c r="Q25" i="14"/>
  <c r="C36" i="14" l="1"/>
  <c r="D36" i="14" s="1"/>
  <c r="E37" i="14"/>
  <c r="B35" i="14"/>
  <c r="A36" i="14"/>
  <c r="O26" i="14"/>
  <c r="J26" i="14"/>
  <c r="K26" i="14" s="1"/>
  <c r="L26" i="14" s="1"/>
  <c r="O27" i="14" s="1"/>
  <c r="M26" i="14"/>
  <c r="N26" i="14"/>
  <c r="P40" i="14"/>
  <c r="H39" i="14"/>
  <c r="A37" i="14" l="1"/>
  <c r="B36" i="14"/>
  <c r="E38" i="14"/>
  <c r="C37" i="14"/>
  <c r="D37" i="14" s="1"/>
  <c r="N27" i="14"/>
  <c r="J27" i="14"/>
  <c r="M27" i="14"/>
  <c r="I27" i="14"/>
  <c r="Q26" i="14"/>
  <c r="P41" i="14"/>
  <c r="H40" i="14"/>
  <c r="C38" i="14" l="1"/>
  <c r="D38" i="14" s="1"/>
  <c r="E39" i="14"/>
  <c r="K27" i="14"/>
  <c r="L27" i="14" s="1"/>
  <c r="M28" i="14" s="1"/>
  <c r="A38" i="14"/>
  <c r="B37" i="14"/>
  <c r="Q27" i="14"/>
  <c r="H41" i="14"/>
  <c r="P42" i="14"/>
  <c r="N28" i="14" l="1"/>
  <c r="O28" i="14"/>
  <c r="I28" i="14"/>
  <c r="J28" i="14"/>
  <c r="A39" i="14"/>
  <c r="B38" i="14"/>
  <c r="C39" i="14"/>
  <c r="D39" i="14" s="1"/>
  <c r="E40" i="14"/>
  <c r="P43" i="14"/>
  <c r="H42" i="14"/>
  <c r="Q28" i="14" l="1"/>
  <c r="K28" i="14"/>
  <c r="L28" i="14" s="1"/>
  <c r="I29" i="14" s="1"/>
  <c r="C40" i="14"/>
  <c r="D40" i="14" s="1"/>
  <c r="E41" i="14"/>
  <c r="A40" i="14"/>
  <c r="B39" i="14"/>
  <c r="P44" i="14"/>
  <c r="H43" i="14"/>
  <c r="N29" i="14" l="1"/>
  <c r="M29" i="14"/>
  <c r="O29" i="14"/>
  <c r="J29" i="14"/>
  <c r="K29" i="14" s="1"/>
  <c r="L29" i="14" s="1"/>
  <c r="J30" i="14" s="1"/>
  <c r="N30" i="14"/>
  <c r="B40" i="14"/>
  <c r="A41" i="14"/>
  <c r="C41" i="14"/>
  <c r="D41" i="14" s="1"/>
  <c r="E42" i="14"/>
  <c r="P45" i="14"/>
  <c r="H44" i="14"/>
  <c r="Q29" i="14" l="1"/>
  <c r="O30" i="14"/>
  <c r="I30" i="14"/>
  <c r="K30" i="14" s="1"/>
  <c r="L30" i="14" s="1"/>
  <c r="O31" i="14" s="1"/>
  <c r="M30" i="14"/>
  <c r="C42" i="14"/>
  <c r="D42" i="14" s="1"/>
  <c r="E43" i="14"/>
  <c r="B41" i="14"/>
  <c r="A42" i="14"/>
  <c r="P46" i="14"/>
  <c r="H45" i="14"/>
  <c r="R31" i="14" l="1"/>
  <c r="I31" i="14"/>
  <c r="Q30" i="14"/>
  <c r="M31" i="14"/>
  <c r="U31" i="14" s="1"/>
  <c r="J31" i="14"/>
  <c r="T31" i="14" s="1"/>
  <c r="N31" i="14"/>
  <c r="A43" i="14"/>
  <c r="B42" i="14"/>
  <c r="E44" i="14"/>
  <c r="C43" i="14"/>
  <c r="D43" i="14" s="1"/>
  <c r="P47" i="14"/>
  <c r="H46" i="14"/>
  <c r="K31" i="14" l="1"/>
  <c r="Q31" i="14"/>
  <c r="S31" i="14" s="1"/>
  <c r="W31" i="14"/>
  <c r="X31" i="14" s="1"/>
  <c r="B43" i="14"/>
  <c r="E45" i="14"/>
  <c r="C44" i="14"/>
  <c r="D44" i="14" s="1"/>
  <c r="P48" i="14"/>
  <c r="H47" i="14"/>
  <c r="V31" i="14"/>
  <c r="L31" i="14"/>
  <c r="E46" i="14" l="1"/>
  <c r="C45" i="14"/>
  <c r="D45" i="14" s="1"/>
  <c r="P49" i="14"/>
  <c r="H48" i="14"/>
  <c r="M32" i="14"/>
  <c r="J32" i="14"/>
  <c r="O32" i="14"/>
  <c r="I32" i="14"/>
  <c r="N32" i="14"/>
  <c r="Y31" i="14"/>
  <c r="E47" i="14" l="1"/>
  <c r="C46" i="14"/>
  <c r="D46" i="14" s="1"/>
  <c r="Q32" i="14"/>
  <c r="P50" i="14"/>
  <c r="H49" i="14"/>
  <c r="Z31" i="14"/>
  <c r="K32" i="14"/>
  <c r="E48" i="14" l="1"/>
  <c r="C47" i="14"/>
  <c r="D47" i="14" s="1"/>
  <c r="L32" i="14"/>
  <c r="P51" i="14"/>
  <c r="H50" i="14"/>
  <c r="E49" i="14" l="1"/>
  <c r="C48" i="14"/>
  <c r="D48" i="14" s="1"/>
  <c r="P52" i="14"/>
  <c r="H51" i="14"/>
  <c r="O33" i="14"/>
  <c r="I33" i="14"/>
  <c r="M33" i="14"/>
  <c r="J33" i="14"/>
  <c r="N33" i="14"/>
  <c r="E50" i="14" l="1"/>
  <c r="C49" i="14"/>
  <c r="D49" i="14" s="1"/>
  <c r="Q33" i="14"/>
  <c r="K33" i="14"/>
  <c r="H52" i="14"/>
  <c r="P53" i="14"/>
  <c r="E51" i="14" l="1"/>
  <c r="C50" i="14"/>
  <c r="D50" i="14" s="1"/>
  <c r="P54" i="14"/>
  <c r="H53" i="14"/>
  <c r="L33" i="14"/>
  <c r="E52" i="14" l="1"/>
  <c r="C51" i="14"/>
  <c r="D51" i="14" s="1"/>
  <c r="P55" i="14"/>
  <c r="H54" i="14"/>
  <c r="J34" i="14"/>
  <c r="O34" i="14"/>
  <c r="I34" i="14"/>
  <c r="M34" i="14"/>
  <c r="N34" i="14"/>
  <c r="E53" i="14" l="1"/>
  <c r="C52" i="14"/>
  <c r="D52" i="14" s="1"/>
  <c r="K34" i="14"/>
  <c r="Q34" i="14"/>
  <c r="H55" i="14"/>
  <c r="P56" i="14"/>
  <c r="E54" i="14" l="1"/>
  <c r="C53" i="14"/>
  <c r="D53" i="14" s="1"/>
  <c r="H56" i="14"/>
  <c r="P57" i="14"/>
  <c r="L34" i="14"/>
  <c r="E55" i="14" l="1"/>
  <c r="C54" i="14"/>
  <c r="D54" i="14" s="1"/>
  <c r="P58" i="14"/>
  <c r="H57" i="14"/>
  <c r="M35" i="14"/>
  <c r="J35" i="14"/>
  <c r="O35" i="14"/>
  <c r="I35" i="14"/>
  <c r="N35" i="14"/>
  <c r="E56" i="14" l="1"/>
  <c r="C55" i="14"/>
  <c r="D55" i="14" s="1"/>
  <c r="K35" i="14"/>
  <c r="L35" i="14" s="1"/>
  <c r="M36" i="14" s="1"/>
  <c r="Q35" i="14"/>
  <c r="P59" i="14"/>
  <c r="H58" i="14"/>
  <c r="E57" i="14" l="1"/>
  <c r="C56" i="14"/>
  <c r="D56" i="14" s="1"/>
  <c r="N36" i="14"/>
  <c r="J36" i="14"/>
  <c r="I36" i="14"/>
  <c r="O36" i="14"/>
  <c r="H59" i="14"/>
  <c r="P60" i="14"/>
  <c r="K36" i="14" l="1"/>
  <c r="L36" i="14" s="1"/>
  <c r="J37" i="14" s="1"/>
  <c r="Q36" i="14"/>
  <c r="E58" i="14"/>
  <c r="C57" i="14"/>
  <c r="D57" i="14" s="1"/>
  <c r="I37" i="14"/>
  <c r="K37" i="14" s="1"/>
  <c r="L37" i="14" s="1"/>
  <c r="O37" i="14"/>
  <c r="P61" i="14"/>
  <c r="H60" i="14"/>
  <c r="N37" i="14" l="1"/>
  <c r="M37" i="14"/>
  <c r="E59" i="14"/>
  <c r="C58" i="14"/>
  <c r="D58" i="14" s="1"/>
  <c r="M38" i="14"/>
  <c r="J38" i="14"/>
  <c r="O38" i="14"/>
  <c r="I38" i="14"/>
  <c r="N38" i="14"/>
  <c r="P62" i="14"/>
  <c r="H61" i="14"/>
  <c r="Q37" i="14" l="1"/>
  <c r="E60" i="14"/>
  <c r="C59" i="14"/>
  <c r="D59" i="14" s="1"/>
  <c r="K38" i="14"/>
  <c r="L38" i="14" s="1"/>
  <c r="O39" i="14" s="1"/>
  <c r="H62" i="14"/>
  <c r="P63" i="14"/>
  <c r="Q38" i="14"/>
  <c r="E61" i="14" l="1"/>
  <c r="C60" i="14"/>
  <c r="D60" i="14" s="1"/>
  <c r="N39" i="14"/>
  <c r="J39" i="14"/>
  <c r="M39" i="14"/>
  <c r="I39" i="14"/>
  <c r="P64" i="14"/>
  <c r="H63" i="14"/>
  <c r="K39" i="14" l="1"/>
  <c r="L39" i="14" s="1"/>
  <c r="E62" i="14"/>
  <c r="C61" i="14"/>
  <c r="D61" i="14" s="1"/>
  <c r="Q39" i="14"/>
  <c r="N40" i="14"/>
  <c r="J40" i="14"/>
  <c r="O40" i="14"/>
  <c r="I40" i="14"/>
  <c r="M40" i="14"/>
  <c r="P65" i="14"/>
  <c r="H64" i="14"/>
  <c r="K40" i="14" l="1"/>
  <c r="L40" i="14" s="1"/>
  <c r="E63" i="14"/>
  <c r="C62" i="14"/>
  <c r="D62" i="14" s="1"/>
  <c r="Q40" i="14"/>
  <c r="M41" i="14"/>
  <c r="J41" i="14"/>
  <c r="O41" i="14"/>
  <c r="I41" i="14"/>
  <c r="N41" i="14"/>
  <c r="H65" i="14"/>
  <c r="P66" i="14"/>
  <c r="E64" i="14" l="1"/>
  <c r="C63" i="14"/>
  <c r="D63" i="14" s="1"/>
  <c r="K41" i="14"/>
  <c r="L41" i="14" s="1"/>
  <c r="O42" i="14" s="1"/>
  <c r="Q41" i="14"/>
  <c r="P67" i="14"/>
  <c r="H66" i="14"/>
  <c r="E65" i="14" l="1"/>
  <c r="C64" i="14"/>
  <c r="D64" i="14" s="1"/>
  <c r="J42" i="14"/>
  <c r="M42" i="14"/>
  <c r="N42" i="14"/>
  <c r="I42" i="14"/>
  <c r="P68" i="14"/>
  <c r="H67" i="14"/>
  <c r="E66" i="14" l="1"/>
  <c r="C65" i="14"/>
  <c r="D65" i="14" s="1"/>
  <c r="Q42" i="14"/>
  <c r="K42" i="14"/>
  <c r="L42" i="14" s="1"/>
  <c r="H68" i="14"/>
  <c r="P69" i="14"/>
  <c r="E67" i="14" l="1"/>
  <c r="C66" i="14"/>
  <c r="D66" i="14" s="1"/>
  <c r="I43" i="14"/>
  <c r="M43" i="14"/>
  <c r="U43" i="14" s="1"/>
  <c r="J43" i="14"/>
  <c r="T43" i="14" s="1"/>
  <c r="N43" i="14"/>
  <c r="O43" i="14"/>
  <c r="R43" i="14"/>
  <c r="P70" i="14"/>
  <c r="H69" i="14"/>
  <c r="E68" i="14" l="1"/>
  <c r="C67" i="14"/>
  <c r="D67" i="14" s="1"/>
  <c r="W43" i="14"/>
  <c r="X43" i="14" s="1"/>
  <c r="Y43" i="14" s="1"/>
  <c r="Z43" i="14" s="1"/>
  <c r="K43" i="14"/>
  <c r="Q43" i="14"/>
  <c r="S43" i="14" s="1"/>
  <c r="P71" i="14"/>
  <c r="H70" i="14"/>
  <c r="E69" i="14" l="1"/>
  <c r="C68" i="14"/>
  <c r="D68" i="14" s="1"/>
  <c r="V43" i="14"/>
  <c r="L43" i="14"/>
  <c r="P72" i="14"/>
  <c r="H71" i="14"/>
  <c r="E70" i="14" l="1"/>
  <c r="C69" i="14"/>
  <c r="D69" i="14" s="1"/>
  <c r="M44" i="14"/>
  <c r="N44" i="14"/>
  <c r="I44" i="14"/>
  <c r="J44" i="14"/>
  <c r="O44" i="14"/>
  <c r="H72" i="14"/>
  <c r="P73" i="14"/>
  <c r="E71" i="14" l="1"/>
  <c r="C70" i="14"/>
  <c r="D70" i="14" s="1"/>
  <c r="Q44" i="14"/>
  <c r="K44" i="14"/>
  <c r="L44" i="14" s="1"/>
  <c r="J45" i="14" s="1"/>
  <c r="P74" i="14"/>
  <c r="H73" i="14"/>
  <c r="I45" i="14" l="1"/>
  <c r="O45" i="14"/>
  <c r="E72" i="14"/>
  <c r="C71" i="14"/>
  <c r="D71" i="14" s="1"/>
  <c r="N45" i="14"/>
  <c r="Q45" i="14" s="1"/>
  <c r="M45" i="14"/>
  <c r="H74" i="14"/>
  <c r="P75" i="14"/>
  <c r="K45" i="14"/>
  <c r="E73" i="14" l="1"/>
  <c r="C72" i="14"/>
  <c r="D72" i="14" s="1"/>
  <c r="P76" i="14"/>
  <c r="H75" i="14"/>
  <c r="L45" i="14"/>
  <c r="E74" i="14" l="1"/>
  <c r="C73" i="14"/>
  <c r="D73" i="14" s="1"/>
  <c r="M46" i="14"/>
  <c r="J46" i="14"/>
  <c r="I46" i="14"/>
  <c r="O46" i="14"/>
  <c r="N46" i="14"/>
  <c r="P77" i="14"/>
  <c r="H76" i="14"/>
  <c r="E75" i="14" l="1"/>
  <c r="C74" i="14"/>
  <c r="D74" i="14" s="1"/>
  <c r="H77" i="14"/>
  <c r="P78" i="14"/>
  <c r="Q46" i="14"/>
  <c r="K46" i="14"/>
  <c r="E76" i="14" l="1"/>
  <c r="C75" i="14"/>
  <c r="D75" i="14" s="1"/>
  <c r="L46" i="14"/>
  <c r="H78" i="14"/>
  <c r="P79" i="14"/>
  <c r="E77" i="14" l="1"/>
  <c r="C76" i="14"/>
  <c r="D76" i="14" s="1"/>
  <c r="J47" i="14"/>
  <c r="I47" i="14"/>
  <c r="O47" i="14"/>
  <c r="M47" i="14"/>
  <c r="N47" i="14"/>
  <c r="P80" i="14"/>
  <c r="H79" i="14"/>
  <c r="E78" i="14" l="1"/>
  <c r="C77" i="14"/>
  <c r="D77" i="14" s="1"/>
  <c r="Q47" i="14"/>
  <c r="K47" i="14"/>
  <c r="H80" i="14"/>
  <c r="P81" i="14"/>
  <c r="E79" i="14" l="1"/>
  <c r="C78" i="14"/>
  <c r="D78" i="14" s="1"/>
  <c r="L47" i="14"/>
  <c r="P82" i="14"/>
  <c r="H81" i="14"/>
  <c r="E80" i="14" l="1"/>
  <c r="C79" i="14"/>
  <c r="D79" i="14" s="1"/>
  <c r="O48" i="14"/>
  <c r="I48" i="14"/>
  <c r="J48" i="14"/>
  <c r="M48" i="14"/>
  <c r="N48" i="14"/>
  <c r="P83" i="14"/>
  <c r="H82" i="14"/>
  <c r="E81" i="14" l="1"/>
  <c r="C80" i="14"/>
  <c r="D80" i="14" s="1"/>
  <c r="K48" i="14"/>
  <c r="L48" i="14" s="1"/>
  <c r="P84" i="14"/>
  <c r="H83" i="14"/>
  <c r="Q48" i="14"/>
  <c r="E82" i="14" l="1"/>
  <c r="C81" i="14"/>
  <c r="D81" i="14" s="1"/>
  <c r="P85" i="14"/>
  <c r="H84" i="14"/>
  <c r="M49" i="14"/>
  <c r="J49" i="14"/>
  <c r="I49" i="14"/>
  <c r="O49" i="14"/>
  <c r="N49" i="14"/>
  <c r="E83" i="14" l="1"/>
  <c r="C82" i="14"/>
  <c r="D82" i="14" s="1"/>
  <c r="Q49" i="14"/>
  <c r="K49" i="14"/>
  <c r="L49" i="14" s="1"/>
  <c r="P86" i="14"/>
  <c r="H85" i="14"/>
  <c r="E84" i="14" l="1"/>
  <c r="C83" i="14"/>
  <c r="D83" i="14" s="1"/>
  <c r="P87" i="14"/>
  <c r="H86" i="14"/>
  <c r="M50" i="14"/>
  <c r="J50" i="14"/>
  <c r="I50" i="14"/>
  <c r="O50" i="14"/>
  <c r="N50" i="14"/>
  <c r="E85" i="14" l="1"/>
  <c r="C84" i="14"/>
  <c r="D84" i="14" s="1"/>
  <c r="K50" i="14"/>
  <c r="L50" i="14" s="1"/>
  <c r="O51" i="14" s="1"/>
  <c r="N51" i="14"/>
  <c r="Q50" i="14"/>
  <c r="P88" i="14"/>
  <c r="H87" i="14"/>
  <c r="J51" i="14" l="1"/>
  <c r="M51" i="14"/>
  <c r="E86" i="14"/>
  <c r="C85" i="14"/>
  <c r="D85" i="14" s="1"/>
  <c r="I51" i="14"/>
  <c r="Q51" i="14" s="1"/>
  <c r="P89" i="14"/>
  <c r="H88" i="14"/>
  <c r="K51" i="14" l="1"/>
  <c r="L51" i="14" s="1"/>
  <c r="M52" i="14" s="1"/>
  <c r="E87" i="14"/>
  <c r="C86" i="14"/>
  <c r="D86" i="14" s="1"/>
  <c r="N52" i="14"/>
  <c r="I52" i="14"/>
  <c r="J52" i="14"/>
  <c r="O52" i="14"/>
  <c r="P90" i="14"/>
  <c r="H89" i="14"/>
  <c r="E88" i="14" l="1"/>
  <c r="C87" i="14"/>
  <c r="D87" i="14" s="1"/>
  <c r="K52" i="14"/>
  <c r="L52" i="14" s="1"/>
  <c r="O53" i="14" s="1"/>
  <c r="Q52" i="14"/>
  <c r="H90" i="14"/>
  <c r="P91" i="14"/>
  <c r="I53" i="14" l="1"/>
  <c r="E89" i="14"/>
  <c r="C88" i="14"/>
  <c r="D88" i="14" s="1"/>
  <c r="M53" i="14"/>
  <c r="J53" i="14"/>
  <c r="N53" i="14"/>
  <c r="P92" i="14"/>
  <c r="H91" i="14"/>
  <c r="K53" i="14" l="1"/>
  <c r="L53" i="14" s="1"/>
  <c r="O54" i="14"/>
  <c r="N54" i="14"/>
  <c r="E90" i="14"/>
  <c r="C89" i="14"/>
  <c r="D89" i="14" s="1"/>
  <c r="Q53" i="14"/>
  <c r="M54" i="14"/>
  <c r="J54" i="14"/>
  <c r="I54" i="14"/>
  <c r="H92" i="14"/>
  <c r="P93" i="14"/>
  <c r="E91" i="14" l="1"/>
  <c r="C90" i="14"/>
  <c r="D90" i="14" s="1"/>
  <c r="Q54" i="14"/>
  <c r="K54" i="14"/>
  <c r="L54" i="14" s="1"/>
  <c r="P94" i="14"/>
  <c r="H93" i="14"/>
  <c r="E92" i="14" l="1"/>
  <c r="C91" i="14"/>
  <c r="D91" i="14" s="1"/>
  <c r="N55" i="14"/>
  <c r="R55" i="14"/>
  <c r="M55" i="14"/>
  <c r="U55" i="14" s="1"/>
  <c r="J55" i="14"/>
  <c r="T55" i="14" s="1"/>
  <c r="O55" i="14"/>
  <c r="I55" i="14"/>
  <c r="P95" i="14"/>
  <c r="H94" i="14"/>
  <c r="E93" i="14" l="1"/>
  <c r="C92" i="14"/>
  <c r="D92" i="14" s="1"/>
  <c r="Q55" i="14"/>
  <c r="S55" i="14" s="1"/>
  <c r="K55" i="14"/>
  <c r="W55" i="14"/>
  <c r="X55" i="14" s="1"/>
  <c r="Y55" i="14" s="1"/>
  <c r="P96" i="14"/>
  <c r="H95" i="14"/>
  <c r="E94" i="14" l="1"/>
  <c r="C93" i="14"/>
  <c r="D93" i="14" s="1"/>
  <c r="V55" i="14"/>
  <c r="L55" i="14"/>
  <c r="P97" i="14"/>
  <c r="H96" i="14"/>
  <c r="Z55" i="14"/>
  <c r="E95" i="14" l="1"/>
  <c r="C94" i="14"/>
  <c r="D94" i="14" s="1"/>
  <c r="I56" i="14"/>
  <c r="O56" i="14"/>
  <c r="N56" i="14"/>
  <c r="M56" i="14"/>
  <c r="J56" i="14"/>
  <c r="H97" i="14"/>
  <c r="P98" i="14"/>
  <c r="E96" i="14" l="1"/>
  <c r="C95" i="14"/>
  <c r="D95" i="14" s="1"/>
  <c r="K56" i="14"/>
  <c r="L56" i="14" s="1"/>
  <c r="M57" i="14" s="1"/>
  <c r="Q56" i="14"/>
  <c r="H98" i="14"/>
  <c r="P99" i="14"/>
  <c r="E97" i="14" l="1"/>
  <c r="C96" i="14"/>
  <c r="D96" i="14" s="1"/>
  <c r="N57" i="14"/>
  <c r="I57" i="14"/>
  <c r="J57" i="14"/>
  <c r="O57" i="14"/>
  <c r="P100" i="14"/>
  <c r="H99" i="14"/>
  <c r="K57" i="14" l="1"/>
  <c r="E98" i="14"/>
  <c r="C97" i="14"/>
  <c r="D97" i="14" s="1"/>
  <c r="Q57" i="14"/>
  <c r="P101" i="14"/>
  <c r="H100" i="14"/>
  <c r="L57" i="14"/>
  <c r="E99" i="14" l="1"/>
  <c r="C98" i="14"/>
  <c r="D98" i="14" s="1"/>
  <c r="J58" i="14"/>
  <c r="M58" i="14"/>
  <c r="I58" i="14"/>
  <c r="O58" i="14"/>
  <c r="N58" i="14"/>
  <c r="P102" i="14"/>
  <c r="H101" i="14"/>
  <c r="E100" i="14" l="1"/>
  <c r="C99" i="14"/>
  <c r="D99" i="14" s="1"/>
  <c r="Q58" i="14"/>
  <c r="K58" i="14"/>
  <c r="H102" i="14"/>
  <c r="P103" i="14"/>
  <c r="E101" i="14" l="1"/>
  <c r="C100" i="14"/>
  <c r="D100" i="14" s="1"/>
  <c r="H103" i="14"/>
  <c r="P104" i="14"/>
  <c r="L58" i="14"/>
  <c r="E102" i="14" l="1"/>
  <c r="C101" i="14"/>
  <c r="D101" i="14" s="1"/>
  <c r="H104" i="14"/>
  <c r="P105" i="14"/>
  <c r="M59" i="14"/>
  <c r="J59" i="14"/>
  <c r="O59" i="14"/>
  <c r="I59" i="14"/>
  <c r="N59" i="14"/>
  <c r="E103" i="14" l="1"/>
  <c r="C102" i="14"/>
  <c r="D102" i="14" s="1"/>
  <c r="P106" i="14"/>
  <c r="H105" i="14"/>
  <c r="Q59" i="14"/>
  <c r="K59" i="14"/>
  <c r="E104" i="14" l="1"/>
  <c r="C103" i="14"/>
  <c r="D103" i="14" s="1"/>
  <c r="L59" i="14"/>
  <c r="H106" i="14"/>
  <c r="P107" i="14"/>
  <c r="E105" i="14" l="1"/>
  <c r="C104" i="14"/>
  <c r="D104" i="14" s="1"/>
  <c r="M60" i="14"/>
  <c r="O60" i="14"/>
  <c r="J60" i="14"/>
  <c r="I60" i="14"/>
  <c r="N60" i="14"/>
  <c r="P108" i="14"/>
  <c r="H107" i="14"/>
  <c r="E106" i="14" l="1"/>
  <c r="C105" i="14"/>
  <c r="D105" i="14" s="1"/>
  <c r="Q60" i="14"/>
  <c r="H108" i="14"/>
  <c r="P109" i="14"/>
  <c r="K60" i="14"/>
  <c r="E107" i="14" l="1"/>
  <c r="C106" i="14"/>
  <c r="D106" i="14" s="1"/>
  <c r="H109" i="14"/>
  <c r="P110" i="14"/>
  <c r="L60" i="14"/>
  <c r="E108" i="14" l="1"/>
  <c r="C107" i="14"/>
  <c r="D107" i="14" s="1"/>
  <c r="P111" i="14"/>
  <c r="H110" i="14"/>
  <c r="J61" i="14"/>
  <c r="M61" i="14"/>
  <c r="I61" i="14"/>
  <c r="O61" i="14"/>
  <c r="N61" i="14"/>
  <c r="E109" i="14" l="1"/>
  <c r="C108" i="14"/>
  <c r="D108" i="14" s="1"/>
  <c r="Q61" i="14"/>
  <c r="K61" i="14"/>
  <c r="L61" i="14" s="1"/>
  <c r="H111" i="14"/>
  <c r="P112" i="14"/>
  <c r="E110" i="14" l="1"/>
  <c r="C109" i="14"/>
  <c r="D109" i="14" s="1"/>
  <c r="M62" i="14"/>
  <c r="J62" i="14"/>
  <c r="O62" i="14"/>
  <c r="I62" i="14"/>
  <c r="N62" i="14"/>
  <c r="P113" i="14"/>
  <c r="H112" i="14"/>
  <c r="E111" i="14" l="1"/>
  <c r="C110" i="14"/>
  <c r="D110" i="14" s="1"/>
  <c r="Q62" i="14"/>
  <c r="H113" i="14"/>
  <c r="P114" i="14"/>
  <c r="K62" i="14"/>
  <c r="L62" i="14" s="1"/>
  <c r="E112" i="14" l="1"/>
  <c r="C111" i="14"/>
  <c r="D111" i="14" s="1"/>
  <c r="P115" i="14"/>
  <c r="H114" i="14"/>
  <c r="O63" i="14"/>
  <c r="M63" i="14"/>
  <c r="J63" i="14"/>
  <c r="I63" i="14"/>
  <c r="N63" i="14"/>
  <c r="E113" i="14" l="1"/>
  <c r="C112" i="14"/>
  <c r="D112" i="14" s="1"/>
  <c r="Q63" i="14"/>
  <c r="K63" i="14"/>
  <c r="L63" i="14" s="1"/>
  <c r="P116" i="14"/>
  <c r="H115" i="14"/>
  <c r="E114" i="14" l="1"/>
  <c r="C113" i="14"/>
  <c r="D113" i="14" s="1"/>
  <c r="P117" i="14"/>
  <c r="H116" i="14"/>
  <c r="J64" i="14"/>
  <c r="M64" i="14"/>
  <c r="I64" i="14"/>
  <c r="O64" i="14"/>
  <c r="N64" i="14"/>
  <c r="E115" i="14" l="1"/>
  <c r="C114" i="14"/>
  <c r="D114" i="14" s="1"/>
  <c r="Q64" i="14"/>
  <c r="P118" i="14"/>
  <c r="H117" i="14"/>
  <c r="K64" i="14"/>
  <c r="L64" i="14" s="1"/>
  <c r="E116" i="14" l="1"/>
  <c r="C115" i="14"/>
  <c r="D115" i="14" s="1"/>
  <c r="H118" i="14"/>
  <c r="P119" i="14"/>
  <c r="M65" i="14"/>
  <c r="O65" i="14"/>
  <c r="J65" i="14"/>
  <c r="I65" i="14"/>
  <c r="N65" i="14"/>
  <c r="E117" i="14" l="1"/>
  <c r="C116" i="14"/>
  <c r="D116" i="14" s="1"/>
  <c r="Q65" i="14"/>
  <c r="K65" i="14"/>
  <c r="L65" i="14" s="1"/>
  <c r="P120" i="14"/>
  <c r="H119" i="14"/>
  <c r="E118" i="14" l="1"/>
  <c r="C117" i="14"/>
  <c r="D117" i="14" s="1"/>
  <c r="M66" i="14"/>
  <c r="J66" i="14"/>
  <c r="I66" i="14"/>
  <c r="K66" i="14" s="1"/>
  <c r="L66" i="14" s="1"/>
  <c r="O66" i="14"/>
  <c r="N66" i="14"/>
  <c r="P121" i="14"/>
  <c r="H120" i="14"/>
  <c r="E119" i="14" l="1"/>
  <c r="C118" i="14"/>
  <c r="D118" i="14" s="1"/>
  <c r="J67" i="14"/>
  <c r="T67" i="14" s="1"/>
  <c r="M67" i="14"/>
  <c r="U67" i="14" s="1"/>
  <c r="I67" i="14"/>
  <c r="O67" i="14"/>
  <c r="N67" i="14"/>
  <c r="R67" i="14"/>
  <c r="Q66" i="14"/>
  <c r="H121" i="14"/>
  <c r="P122" i="14"/>
  <c r="E120" i="14" l="1"/>
  <c r="C119" i="14"/>
  <c r="D119" i="14" s="1"/>
  <c r="W67" i="14"/>
  <c r="X67" i="14" s="1"/>
  <c r="Q67" i="14"/>
  <c r="S67" i="14" s="1"/>
  <c r="K67" i="14"/>
  <c r="H122" i="14"/>
  <c r="P123" i="14"/>
  <c r="E121" i="14" l="1"/>
  <c r="C120" i="14"/>
  <c r="D120" i="14" s="1"/>
  <c r="Y7" i="14"/>
  <c r="Y67" i="14"/>
  <c r="Y6" i="14"/>
  <c r="Z7" i="14"/>
  <c r="P124" i="14"/>
  <c r="H123" i="14"/>
  <c r="V67" i="14"/>
  <c r="L67" i="14"/>
  <c r="E122" i="14" l="1"/>
  <c r="C121" i="14"/>
  <c r="D121" i="14" s="1"/>
  <c r="M68" i="14"/>
  <c r="O68" i="14"/>
  <c r="I68" i="14"/>
  <c r="J68" i="14"/>
  <c r="N68" i="14"/>
  <c r="Z67" i="14"/>
  <c r="Z6" i="14"/>
  <c r="P125" i="14"/>
  <c r="H124" i="14"/>
  <c r="E123" i="14" l="1"/>
  <c r="C122" i="14"/>
  <c r="D122" i="14" s="1"/>
  <c r="Q68" i="14"/>
  <c r="K68" i="14"/>
  <c r="L68" i="14" s="1"/>
  <c r="P126" i="14"/>
  <c r="H125" i="14"/>
  <c r="E124" i="14" l="1"/>
  <c r="C123" i="14"/>
  <c r="D123" i="14" s="1"/>
  <c r="H126" i="14"/>
  <c r="P127" i="14"/>
  <c r="O69" i="14"/>
  <c r="J69" i="14"/>
  <c r="I69" i="14"/>
  <c r="M69" i="14"/>
  <c r="N69" i="14"/>
  <c r="E125" i="14" l="1"/>
  <c r="C124" i="14"/>
  <c r="D124" i="14" s="1"/>
  <c r="Q69" i="14"/>
  <c r="K69" i="14"/>
  <c r="L69" i="14" s="1"/>
  <c r="H127" i="14"/>
  <c r="P128" i="14"/>
  <c r="E126" i="14" l="1"/>
  <c r="C125" i="14"/>
  <c r="D125" i="14" s="1"/>
  <c r="H128" i="14"/>
  <c r="P129" i="14"/>
  <c r="O70" i="14"/>
  <c r="I70" i="14"/>
  <c r="M70" i="14"/>
  <c r="J70" i="14"/>
  <c r="N70" i="14"/>
  <c r="E127" i="14" l="1"/>
  <c r="C126" i="14"/>
  <c r="D126" i="14" s="1"/>
  <c r="Q70" i="14"/>
  <c r="P130" i="14"/>
  <c r="H129" i="14"/>
  <c r="K70" i="14"/>
  <c r="L70" i="14" s="1"/>
  <c r="E128" i="14" l="1"/>
  <c r="C127" i="14"/>
  <c r="D127" i="14" s="1"/>
  <c r="M71" i="14"/>
  <c r="I71" i="14"/>
  <c r="O71" i="14"/>
  <c r="J71" i="14"/>
  <c r="N71" i="14"/>
  <c r="H130" i="14"/>
  <c r="P131" i="14"/>
  <c r="K71" i="14" l="1"/>
  <c r="L71" i="14" s="1"/>
  <c r="E129" i="14"/>
  <c r="C128" i="14"/>
  <c r="D128" i="14" s="1"/>
  <c r="I72" i="14"/>
  <c r="J72" i="14"/>
  <c r="O72" i="14"/>
  <c r="M72" i="14"/>
  <c r="N72" i="14"/>
  <c r="P132" i="14"/>
  <c r="H131" i="14"/>
  <c r="Q71" i="14"/>
  <c r="E130" i="14" l="1"/>
  <c r="C129" i="14"/>
  <c r="D129" i="14" s="1"/>
  <c r="H132" i="14"/>
  <c r="P133" i="14"/>
  <c r="Q72" i="14"/>
  <c r="K72" i="14"/>
  <c r="L72" i="14" s="1"/>
  <c r="E131" i="14" l="1"/>
  <c r="C130" i="14"/>
  <c r="D130" i="14" s="1"/>
  <c r="H133" i="14"/>
  <c r="P134" i="14"/>
  <c r="O73" i="14"/>
  <c r="I73" i="14"/>
  <c r="J73" i="14"/>
  <c r="M73" i="14"/>
  <c r="N73" i="14"/>
  <c r="E132" i="14" l="1"/>
  <c r="C131" i="14"/>
  <c r="D131" i="14" s="1"/>
  <c r="K73" i="14"/>
  <c r="L73" i="14" s="1"/>
  <c r="M74" i="14" s="1"/>
  <c r="H134" i="14"/>
  <c r="P135" i="14"/>
  <c r="Q73" i="14"/>
  <c r="E133" i="14" l="1"/>
  <c r="C132" i="14"/>
  <c r="D132" i="14" s="1"/>
  <c r="N74" i="14"/>
  <c r="I74" i="14"/>
  <c r="J74" i="14"/>
  <c r="O74" i="14"/>
  <c r="P136" i="14"/>
  <c r="H135" i="14"/>
  <c r="E134" i="14" l="1"/>
  <c r="C133" i="14"/>
  <c r="D133" i="14" s="1"/>
  <c r="K74" i="14"/>
  <c r="L74" i="14" s="1"/>
  <c r="J75" i="14" s="1"/>
  <c r="N75" i="14"/>
  <c r="Q74" i="14"/>
  <c r="P137" i="14"/>
  <c r="H136" i="14"/>
  <c r="E135" i="14" l="1"/>
  <c r="C134" i="14"/>
  <c r="D134" i="14" s="1"/>
  <c r="O75" i="14"/>
  <c r="M75" i="14"/>
  <c r="I75" i="14"/>
  <c r="K75" i="14" s="1"/>
  <c r="L75" i="14" s="1"/>
  <c r="P138" i="14"/>
  <c r="H137" i="14"/>
  <c r="E136" i="14" l="1"/>
  <c r="C135" i="14"/>
  <c r="D135" i="14" s="1"/>
  <c r="O76" i="14"/>
  <c r="N76" i="14"/>
  <c r="Q75" i="14"/>
  <c r="M76" i="14"/>
  <c r="J76" i="14"/>
  <c r="I76" i="14"/>
  <c r="H138" i="14"/>
  <c r="P139" i="14"/>
  <c r="E137" i="14" l="1"/>
  <c r="C136" i="14"/>
  <c r="D136" i="14" s="1"/>
  <c r="Q76" i="14"/>
  <c r="K76" i="14"/>
  <c r="L76" i="14" s="1"/>
  <c r="H139" i="14"/>
  <c r="P140" i="14"/>
  <c r="E138" i="14" l="1"/>
  <c r="C137" i="14"/>
  <c r="D137" i="14" s="1"/>
  <c r="M77" i="14"/>
  <c r="I77" i="14"/>
  <c r="O77" i="14"/>
  <c r="N77" i="14"/>
  <c r="J77" i="14"/>
  <c r="H140" i="14"/>
  <c r="P141" i="14"/>
  <c r="E139" i="14" l="1"/>
  <c r="C138" i="14"/>
  <c r="D138" i="14" s="1"/>
  <c r="Q77" i="14"/>
  <c r="K77" i="14"/>
  <c r="L77" i="14" s="1"/>
  <c r="P142" i="14"/>
  <c r="H141" i="14"/>
  <c r="E140" i="14" l="1"/>
  <c r="C139" i="14"/>
  <c r="D139" i="14" s="1"/>
  <c r="I78" i="14"/>
  <c r="J78" i="14"/>
  <c r="N78" i="14"/>
  <c r="M78" i="14"/>
  <c r="O78" i="14"/>
  <c r="P143" i="14"/>
  <c r="H142" i="14"/>
  <c r="E141" i="14" l="1"/>
  <c r="C140" i="14"/>
  <c r="D140" i="14" s="1"/>
  <c r="K78" i="14"/>
  <c r="L78" i="14" s="1"/>
  <c r="J79" i="14" s="1"/>
  <c r="Q78" i="14"/>
  <c r="P144" i="14"/>
  <c r="H143" i="14"/>
  <c r="I79" i="14" l="1"/>
  <c r="M79" i="14"/>
  <c r="O79" i="14"/>
  <c r="N79" i="14"/>
  <c r="K79" i="14"/>
  <c r="L79" i="14" s="1"/>
  <c r="I80" i="14" s="1"/>
  <c r="E142" i="14"/>
  <c r="C141" i="14"/>
  <c r="D141" i="14" s="1"/>
  <c r="H144" i="14"/>
  <c r="P145" i="14"/>
  <c r="Q79" i="14" l="1"/>
  <c r="O80" i="14"/>
  <c r="J80" i="14"/>
  <c r="K80" i="14" s="1"/>
  <c r="L80" i="14" s="1"/>
  <c r="M80" i="14"/>
  <c r="E143" i="14"/>
  <c r="C142" i="14"/>
  <c r="D142" i="14" s="1"/>
  <c r="N80" i="14"/>
  <c r="H145" i="14"/>
  <c r="P146" i="14"/>
  <c r="Q80" i="14" l="1"/>
  <c r="M81" i="14"/>
  <c r="I81" i="14"/>
  <c r="O81" i="14"/>
  <c r="E144" i="14"/>
  <c r="C143" i="14"/>
  <c r="D143" i="14" s="1"/>
  <c r="J81" i="14"/>
  <c r="N81" i="14"/>
  <c r="H146" i="14"/>
  <c r="P147" i="14"/>
  <c r="K81" i="14" l="1"/>
  <c r="L81" i="14" s="1"/>
  <c r="J82" i="14"/>
  <c r="I82" i="14"/>
  <c r="M82" i="14"/>
  <c r="Q81" i="14"/>
  <c r="E145" i="14"/>
  <c r="C144" i="14"/>
  <c r="D144" i="14" s="1"/>
  <c r="O82" i="14"/>
  <c r="N82" i="14"/>
  <c r="P148" i="14"/>
  <c r="H147" i="14"/>
  <c r="Q82" i="14" l="1"/>
  <c r="K82" i="14"/>
  <c r="L82" i="14" s="1"/>
  <c r="E146" i="14"/>
  <c r="C145" i="14"/>
  <c r="D145" i="14" s="1"/>
  <c r="P149" i="14"/>
  <c r="H148" i="14"/>
  <c r="N83" i="14" l="1"/>
  <c r="M83" i="14"/>
  <c r="I83" i="14"/>
  <c r="O83" i="14"/>
  <c r="J83" i="14"/>
  <c r="E147" i="14"/>
  <c r="C146" i="14"/>
  <c r="D146" i="14" s="1"/>
  <c r="P150" i="14"/>
  <c r="H149" i="14"/>
  <c r="K83" i="14" l="1"/>
  <c r="L83" i="14" s="1"/>
  <c r="Q83" i="14"/>
  <c r="E148" i="14"/>
  <c r="C147" i="14"/>
  <c r="D147" i="14" s="1"/>
  <c r="H150" i="14"/>
  <c r="P151" i="14"/>
  <c r="J84" i="14" l="1"/>
  <c r="M84" i="14"/>
  <c r="I84" i="14"/>
  <c r="O84" i="14"/>
  <c r="N84" i="14"/>
  <c r="E149" i="14"/>
  <c r="C148" i="14"/>
  <c r="D148" i="14" s="1"/>
  <c r="P152" i="14"/>
  <c r="H151" i="14"/>
  <c r="K84" i="14" l="1"/>
  <c r="L84" i="14" s="1"/>
  <c r="Q84" i="14"/>
  <c r="E150" i="14"/>
  <c r="C149" i="14"/>
  <c r="D149" i="14" s="1"/>
  <c r="H152" i="14"/>
  <c r="P153" i="14"/>
  <c r="I85" i="14" l="1"/>
  <c r="J85" i="14"/>
  <c r="N85" i="14"/>
  <c r="M85" i="14"/>
  <c r="O85" i="14"/>
  <c r="E151" i="14"/>
  <c r="C150" i="14"/>
  <c r="D150" i="14" s="1"/>
  <c r="P154" i="14"/>
  <c r="H153" i="14"/>
  <c r="K85" i="14" l="1"/>
  <c r="L85" i="14" s="1"/>
  <c r="Q85" i="14"/>
  <c r="E152" i="14"/>
  <c r="C151" i="14"/>
  <c r="D151" i="14" s="1"/>
  <c r="P155" i="14"/>
  <c r="H154" i="14"/>
  <c r="O86" i="14" l="1"/>
  <c r="I86" i="14"/>
  <c r="J86" i="14"/>
  <c r="M86" i="14"/>
  <c r="N86" i="14"/>
  <c r="K86" i="14"/>
  <c r="L86" i="14" s="1"/>
  <c r="E153" i="14"/>
  <c r="C152" i="14"/>
  <c r="D152" i="14" s="1"/>
  <c r="P156" i="14"/>
  <c r="H155" i="14"/>
  <c r="Q86" i="14" l="1"/>
  <c r="I87" i="14"/>
  <c r="O87" i="14"/>
  <c r="M87" i="14"/>
  <c r="N87" i="14"/>
  <c r="J87" i="14"/>
  <c r="E154" i="14"/>
  <c r="C153" i="14"/>
  <c r="D153" i="14" s="1"/>
  <c r="P157" i="14"/>
  <c r="H156" i="14"/>
  <c r="Q87" i="14" l="1"/>
  <c r="K87" i="14"/>
  <c r="L87" i="14" s="1"/>
  <c r="E155" i="14"/>
  <c r="C154" i="14"/>
  <c r="D154" i="14" s="1"/>
  <c r="H157" i="14"/>
  <c r="P158" i="14"/>
  <c r="I88" i="14" l="1"/>
  <c r="O88" i="14"/>
  <c r="M88" i="14"/>
  <c r="J88" i="14"/>
  <c r="N88" i="14"/>
  <c r="E156" i="14"/>
  <c r="C155" i="14"/>
  <c r="D155" i="14" s="1"/>
  <c r="P159" i="14"/>
  <c r="H158" i="14"/>
  <c r="Q88" i="14" l="1"/>
  <c r="K88" i="14"/>
  <c r="L88" i="14" s="1"/>
  <c r="E157" i="14"/>
  <c r="C156" i="14"/>
  <c r="D156" i="14" s="1"/>
  <c r="H159" i="14"/>
  <c r="P160" i="14"/>
  <c r="O89" i="14" l="1"/>
  <c r="M89" i="14"/>
  <c r="J89" i="14"/>
  <c r="N89" i="14"/>
  <c r="I89" i="14"/>
  <c r="E158" i="14"/>
  <c r="C157" i="14"/>
  <c r="D157" i="14" s="1"/>
  <c r="P161" i="14"/>
  <c r="H160" i="14"/>
  <c r="K89" i="14" l="1"/>
  <c r="L89" i="14" s="1"/>
  <c r="Q89" i="14"/>
  <c r="E159" i="14"/>
  <c r="C158" i="14"/>
  <c r="D158" i="14" s="1"/>
  <c r="P162" i="14"/>
  <c r="H161" i="14"/>
  <c r="N90" i="14" l="1"/>
  <c r="J90" i="14"/>
  <c r="I90" i="14"/>
  <c r="O90" i="14"/>
  <c r="M90" i="14"/>
  <c r="E160" i="14"/>
  <c r="C159" i="14"/>
  <c r="D159" i="14" s="1"/>
  <c r="P163" i="14"/>
  <c r="H162" i="14"/>
  <c r="Q90" i="14" l="1"/>
  <c r="K90" i="14"/>
  <c r="L90" i="14" s="1"/>
  <c r="E161" i="14"/>
  <c r="C160" i="14"/>
  <c r="D160" i="14" s="1"/>
  <c r="H163" i="14"/>
  <c r="P164" i="14"/>
  <c r="M91" i="14" l="1"/>
  <c r="I91" i="14"/>
  <c r="N91" i="14"/>
  <c r="J91" i="14"/>
  <c r="O91" i="14"/>
  <c r="E162" i="14"/>
  <c r="C161" i="14"/>
  <c r="D161" i="14" s="1"/>
  <c r="P165" i="14"/>
  <c r="H164" i="14"/>
  <c r="K91" i="14" l="1"/>
  <c r="L91" i="14" s="1"/>
  <c r="Q91" i="14"/>
  <c r="E163" i="14"/>
  <c r="C162" i="14"/>
  <c r="D162" i="14" s="1"/>
  <c r="H165" i="14"/>
  <c r="P166" i="14"/>
  <c r="I92" i="14" l="1"/>
  <c r="J92" i="14"/>
  <c r="M92" i="14"/>
  <c r="O92" i="14"/>
  <c r="N92" i="14"/>
  <c r="E164" i="14"/>
  <c r="C163" i="14"/>
  <c r="D163" i="14" s="1"/>
  <c r="P167" i="14"/>
  <c r="H166" i="14"/>
  <c r="K92" i="14" l="1"/>
  <c r="L92" i="14" s="1"/>
  <c r="N93" i="14"/>
  <c r="M93" i="14"/>
  <c r="J93" i="14"/>
  <c r="I93" i="14"/>
  <c r="K93" i="14" s="1"/>
  <c r="L93" i="14" s="1"/>
  <c r="O93" i="14"/>
  <c r="Q92" i="14"/>
  <c r="E165" i="14"/>
  <c r="C164" i="14"/>
  <c r="D164" i="14" s="1"/>
  <c r="H167" i="14"/>
  <c r="P168" i="14"/>
  <c r="Q93" i="14" l="1"/>
  <c r="N94" i="14"/>
  <c r="I94" i="14"/>
  <c r="J94" i="14"/>
  <c r="O94" i="14"/>
  <c r="M94" i="14"/>
  <c r="E166" i="14"/>
  <c r="C165" i="14"/>
  <c r="D165" i="14" s="1"/>
  <c r="P169" i="14"/>
  <c r="H168" i="14"/>
  <c r="Q94" i="14" l="1"/>
  <c r="K94" i="14"/>
  <c r="L94" i="14" s="1"/>
  <c r="E167" i="14"/>
  <c r="C166" i="14"/>
  <c r="D166" i="14" s="1"/>
  <c r="H169" i="14"/>
  <c r="P170" i="14"/>
  <c r="J95" i="14" l="1"/>
  <c r="N95" i="14"/>
  <c r="I95" i="14"/>
  <c r="M95" i="14"/>
  <c r="O95" i="14"/>
  <c r="E168" i="14"/>
  <c r="C167" i="14"/>
  <c r="D167" i="14" s="1"/>
  <c r="H170" i="14"/>
  <c r="P171" i="14"/>
  <c r="Q95" i="14" l="1"/>
  <c r="K95" i="14"/>
  <c r="L95" i="14" s="1"/>
  <c r="E169" i="14"/>
  <c r="C168" i="14"/>
  <c r="D168" i="14" s="1"/>
  <c r="H171" i="14"/>
  <c r="P172" i="14"/>
  <c r="J96" i="14" l="1"/>
  <c r="N96" i="14"/>
  <c r="M96" i="14"/>
  <c r="O96" i="14"/>
  <c r="I96" i="14"/>
  <c r="E170" i="14"/>
  <c r="C169" i="14"/>
  <c r="D169" i="14" s="1"/>
  <c r="H172" i="14"/>
  <c r="P173" i="14"/>
  <c r="K96" i="14" l="1"/>
  <c r="L96" i="14" s="1"/>
  <c r="Q96" i="14"/>
  <c r="E171" i="14"/>
  <c r="C170" i="14"/>
  <c r="D170" i="14" s="1"/>
  <c r="P174" i="14"/>
  <c r="H173" i="14"/>
  <c r="M97" i="14" l="1"/>
  <c r="N97" i="14"/>
  <c r="J97" i="14"/>
  <c r="O97" i="14"/>
  <c r="I97" i="14"/>
  <c r="C171" i="14"/>
  <c r="D171" i="14" s="1"/>
  <c r="E172" i="14"/>
  <c r="P175" i="14"/>
  <c r="H174" i="14"/>
  <c r="Q97" i="14" l="1"/>
  <c r="K97" i="14"/>
  <c r="L97" i="14" s="1"/>
  <c r="C172" i="14"/>
  <c r="D172" i="14" s="1"/>
  <c r="E173" i="14"/>
  <c r="H175" i="14"/>
  <c r="P176" i="14"/>
  <c r="J98" i="14" l="1"/>
  <c r="I98" i="14"/>
  <c r="O98" i="14"/>
  <c r="N98" i="14"/>
  <c r="M98" i="14"/>
  <c r="K98" i="14"/>
  <c r="L98" i="14" s="1"/>
  <c r="C173" i="14"/>
  <c r="D173" i="14" s="1"/>
  <c r="E174" i="14"/>
  <c r="H176" i="14"/>
  <c r="P177" i="14"/>
  <c r="N99" i="14" l="1"/>
  <c r="I99" i="14"/>
  <c r="O99" i="14"/>
  <c r="M99" i="14"/>
  <c r="J99" i="14"/>
  <c r="K99" i="14" s="1"/>
  <c r="L99" i="14" s="1"/>
  <c r="O100" i="14" s="1"/>
  <c r="Q98" i="14"/>
  <c r="C174" i="14"/>
  <c r="D174" i="14" s="1"/>
  <c r="E175" i="14"/>
  <c r="H177" i="14"/>
  <c r="P178" i="14"/>
  <c r="N100" i="14" l="1"/>
  <c r="J100" i="14"/>
  <c r="I100" i="14"/>
  <c r="Q99" i="14"/>
  <c r="M100" i="14"/>
  <c r="E176" i="14"/>
  <c r="C175" i="14"/>
  <c r="D175" i="14" s="1"/>
  <c r="P179" i="14"/>
  <c r="H178" i="14"/>
  <c r="Q100" i="14" l="1"/>
  <c r="K100" i="14"/>
  <c r="L100" i="14" s="1"/>
  <c r="C176" i="14"/>
  <c r="D176" i="14" s="1"/>
  <c r="E177" i="14"/>
  <c r="P180" i="14"/>
  <c r="H179" i="14"/>
  <c r="M101" i="14" l="1"/>
  <c r="N101" i="14"/>
  <c r="J101" i="14"/>
  <c r="I101" i="14"/>
  <c r="O101" i="14"/>
  <c r="C177" i="14"/>
  <c r="D177" i="14" s="1"/>
  <c r="E178" i="14"/>
  <c r="P181" i="14"/>
  <c r="H180" i="14"/>
  <c r="Q101" i="14" l="1"/>
  <c r="K101" i="14"/>
  <c r="L101" i="14" s="1"/>
  <c r="C178" i="14"/>
  <c r="D178" i="14" s="1"/>
  <c r="E179" i="14"/>
  <c r="H181" i="14"/>
  <c r="P182" i="14"/>
  <c r="J102" i="14" l="1"/>
  <c r="O102" i="14"/>
  <c r="I102" i="14"/>
  <c r="M102" i="14"/>
  <c r="N102" i="14"/>
  <c r="C179" i="14"/>
  <c r="D179" i="14" s="1"/>
  <c r="E180" i="14"/>
  <c r="H182" i="14"/>
  <c r="P183" i="14"/>
  <c r="Q102" i="14" l="1"/>
  <c r="K102" i="14"/>
  <c r="L102" i="14" s="1"/>
  <c r="C180" i="14"/>
  <c r="D180" i="14" s="1"/>
  <c r="E181" i="14"/>
  <c r="H183" i="14"/>
  <c r="P184" i="14"/>
  <c r="I103" i="14" l="1"/>
  <c r="J103" i="14"/>
  <c r="M103" i="14"/>
  <c r="N103" i="14"/>
  <c r="O103" i="14"/>
  <c r="E182" i="14"/>
  <c r="C181" i="14"/>
  <c r="D181" i="14" s="1"/>
  <c r="P185" i="14"/>
  <c r="H184" i="14"/>
  <c r="K103" i="14" l="1"/>
  <c r="L103" i="14" s="1"/>
  <c r="Q103" i="14"/>
  <c r="C182" i="14"/>
  <c r="D182" i="14" s="1"/>
  <c r="E183" i="14"/>
  <c r="P186" i="14"/>
  <c r="H185" i="14"/>
  <c r="O104" i="14" l="1"/>
  <c r="I104" i="14"/>
  <c r="M104" i="14"/>
  <c r="J104" i="14"/>
  <c r="K104" i="14" s="1"/>
  <c r="L104" i="14" s="1"/>
  <c r="N104" i="14"/>
  <c r="C183" i="14"/>
  <c r="D183" i="14" s="1"/>
  <c r="E184" i="14"/>
  <c r="P187" i="14"/>
  <c r="H186" i="14"/>
  <c r="Q104" i="14" l="1"/>
  <c r="J105" i="14"/>
  <c r="N105" i="14"/>
  <c r="M105" i="14"/>
  <c r="O105" i="14"/>
  <c r="I105" i="14"/>
  <c r="C184" i="14"/>
  <c r="D184" i="14" s="1"/>
  <c r="E185" i="14"/>
  <c r="H187" i="14"/>
  <c r="P188" i="14"/>
  <c r="Q105" i="14" l="1"/>
  <c r="K105" i="14"/>
  <c r="L105" i="14" s="1"/>
  <c r="C185" i="14"/>
  <c r="D185" i="14" s="1"/>
  <c r="E186" i="14"/>
  <c r="P189" i="14"/>
  <c r="H188" i="14"/>
  <c r="I106" i="14" l="1"/>
  <c r="J106" i="14"/>
  <c r="O106" i="14"/>
  <c r="M106" i="14"/>
  <c r="N106" i="14"/>
  <c r="C186" i="14"/>
  <c r="D186" i="14" s="1"/>
  <c r="E187" i="14"/>
  <c r="H189" i="14"/>
  <c r="P190" i="14"/>
  <c r="K106" i="14" l="1"/>
  <c r="L106" i="14" s="1"/>
  <c r="J107" i="14" s="1"/>
  <c r="M107" i="14"/>
  <c r="O107" i="14"/>
  <c r="N107" i="14"/>
  <c r="I107" i="14"/>
  <c r="Q106" i="14"/>
  <c r="E188" i="14"/>
  <c r="C187" i="14"/>
  <c r="D187" i="14" s="1"/>
  <c r="P191" i="14"/>
  <c r="H190" i="14"/>
  <c r="Q107" i="14" l="1"/>
  <c r="K107" i="14"/>
  <c r="L107" i="14" s="1"/>
  <c r="C188" i="14"/>
  <c r="D188" i="14" s="1"/>
  <c r="E189" i="14"/>
  <c r="P192" i="14"/>
  <c r="H191" i="14"/>
  <c r="M108" i="14" l="1"/>
  <c r="J108" i="14"/>
  <c r="N108" i="14"/>
  <c r="I108" i="14"/>
  <c r="K108" i="14" s="1"/>
  <c r="L108" i="14" s="1"/>
  <c r="O108" i="14"/>
  <c r="C189" i="14"/>
  <c r="D189" i="14" s="1"/>
  <c r="E190" i="14"/>
  <c r="P193" i="14"/>
  <c r="H192" i="14"/>
  <c r="I109" i="14" l="1"/>
  <c r="M109" i="14"/>
  <c r="O109" i="14"/>
  <c r="J109" i="14"/>
  <c r="N109" i="14"/>
  <c r="Q108" i="14"/>
  <c r="C190" i="14"/>
  <c r="D190" i="14" s="1"/>
  <c r="E191" i="14"/>
  <c r="P194" i="14"/>
  <c r="H193" i="14"/>
  <c r="K109" i="14" l="1"/>
  <c r="L109" i="14" s="1"/>
  <c r="Q109" i="14"/>
  <c r="C191" i="14"/>
  <c r="D191" i="14" s="1"/>
  <c r="E192" i="14"/>
  <c r="H194" i="14"/>
  <c r="P195" i="14"/>
  <c r="I110" i="14" l="1"/>
  <c r="M110" i="14"/>
  <c r="O110" i="14"/>
  <c r="J110" i="14"/>
  <c r="N110" i="14"/>
  <c r="C192" i="14"/>
  <c r="D192" i="14" s="1"/>
  <c r="E193" i="14"/>
  <c r="H195" i="14"/>
  <c r="P196" i="14"/>
  <c r="K110" i="14" l="1"/>
  <c r="L110" i="14" s="1"/>
  <c r="Q110" i="14"/>
  <c r="E194" i="14"/>
  <c r="C193" i="14"/>
  <c r="D193" i="14" s="1"/>
  <c r="P197" i="14"/>
  <c r="H196" i="14"/>
  <c r="M111" i="14" l="1"/>
  <c r="O111" i="14"/>
  <c r="N111" i="14"/>
  <c r="I111" i="14"/>
  <c r="J111" i="14"/>
  <c r="C194" i="14"/>
  <c r="D194" i="14" s="1"/>
  <c r="E195" i="14"/>
  <c r="P198" i="14"/>
  <c r="H197" i="14"/>
  <c r="K111" i="14" l="1"/>
  <c r="L111" i="14" s="1"/>
  <c r="Q111" i="14"/>
  <c r="C195" i="14"/>
  <c r="D195" i="14" s="1"/>
  <c r="E196" i="14"/>
  <c r="P199" i="14"/>
  <c r="H198" i="14"/>
  <c r="N112" i="14" l="1"/>
  <c r="O112" i="14"/>
  <c r="J112" i="14"/>
  <c r="M112" i="14"/>
  <c r="I112" i="14"/>
  <c r="K112" i="14" s="1"/>
  <c r="L112" i="14" s="1"/>
  <c r="C196" i="14"/>
  <c r="D196" i="14" s="1"/>
  <c r="E197" i="14"/>
  <c r="H199" i="14"/>
  <c r="P200" i="14"/>
  <c r="J113" i="14" l="1"/>
  <c r="I113" i="14"/>
  <c r="M113" i="14"/>
  <c r="O113" i="14"/>
  <c r="N113" i="14"/>
  <c r="Q112" i="14"/>
  <c r="C197" i="14"/>
  <c r="D197" i="14" s="1"/>
  <c r="E198" i="14"/>
  <c r="P201" i="14"/>
  <c r="H200" i="14"/>
  <c r="K113" i="14" l="1"/>
  <c r="L113" i="14" s="1"/>
  <c r="I114" i="14" s="1"/>
  <c r="J114" i="14"/>
  <c r="O114" i="14"/>
  <c r="N114" i="14"/>
  <c r="M114" i="14"/>
  <c r="Q113" i="14"/>
  <c r="C198" i="14"/>
  <c r="D198" i="14" s="1"/>
  <c r="E199" i="14"/>
  <c r="H201" i="14"/>
  <c r="P202" i="14"/>
  <c r="K114" i="14" l="1"/>
  <c r="L114" i="14" s="1"/>
  <c r="Q114" i="14"/>
  <c r="E200" i="14"/>
  <c r="C199" i="14"/>
  <c r="D199" i="14" s="1"/>
  <c r="P203" i="14"/>
  <c r="H202" i="14"/>
  <c r="N115" i="14" l="1"/>
  <c r="J115" i="14"/>
  <c r="M115" i="14"/>
  <c r="O115" i="14"/>
  <c r="I115" i="14"/>
  <c r="C200" i="14"/>
  <c r="D200" i="14" s="1"/>
  <c r="E201" i="14"/>
  <c r="H203" i="14"/>
  <c r="P204" i="14"/>
  <c r="Q115" i="14" l="1"/>
  <c r="K115" i="14"/>
  <c r="L115" i="14" s="1"/>
  <c r="E202" i="14"/>
  <c r="C201" i="14"/>
  <c r="D201" i="14" s="1"/>
  <c r="P205" i="14"/>
  <c r="H204" i="14"/>
  <c r="M116" i="14" l="1"/>
  <c r="N116" i="14"/>
  <c r="J116" i="14"/>
  <c r="I116" i="14"/>
  <c r="O116" i="14"/>
  <c r="C202" i="14"/>
  <c r="D202" i="14" s="1"/>
  <c r="E203" i="14"/>
  <c r="H205" i="14"/>
  <c r="P206" i="14"/>
  <c r="K116" i="14" l="1"/>
  <c r="L116" i="14" s="1"/>
  <c r="Q116" i="14"/>
  <c r="E204" i="14"/>
  <c r="C203" i="14"/>
  <c r="D203" i="14" s="1"/>
  <c r="P207" i="14"/>
  <c r="H206" i="14"/>
  <c r="I117" i="14" l="1"/>
  <c r="N117" i="14"/>
  <c r="M117" i="14"/>
  <c r="O117" i="14"/>
  <c r="J117" i="14"/>
  <c r="C204" i="14"/>
  <c r="D204" i="14" s="1"/>
  <c r="E205" i="14"/>
  <c r="H207" i="14"/>
  <c r="P208" i="14"/>
  <c r="K117" i="14" l="1"/>
  <c r="L117" i="14" s="1"/>
  <c r="Q117" i="14"/>
  <c r="C205" i="14"/>
  <c r="D205" i="14" s="1"/>
  <c r="E206" i="14"/>
  <c r="P209" i="14"/>
  <c r="H208" i="14"/>
  <c r="O118" i="14" l="1"/>
  <c r="I118" i="14"/>
  <c r="J118" i="14"/>
  <c r="N118" i="14"/>
  <c r="M118" i="14"/>
  <c r="C206" i="14"/>
  <c r="D206" i="14" s="1"/>
  <c r="E207" i="14"/>
  <c r="P210" i="14"/>
  <c r="H209" i="14"/>
  <c r="K118" i="14" l="1"/>
  <c r="L118" i="14" s="1"/>
  <c r="Q118" i="14"/>
  <c r="E208" i="14"/>
  <c r="C207" i="14"/>
  <c r="D207" i="14" s="1"/>
  <c r="P211" i="14"/>
  <c r="H210" i="14"/>
  <c r="J119" i="14" l="1"/>
  <c r="M119" i="14"/>
  <c r="O119" i="14"/>
  <c r="N119" i="14"/>
  <c r="I119" i="14"/>
  <c r="C208" i="14"/>
  <c r="D208" i="14" s="1"/>
  <c r="E209" i="14"/>
  <c r="H211" i="14"/>
  <c r="P212" i="14"/>
  <c r="K119" i="14" l="1"/>
  <c r="L119" i="14" s="1"/>
  <c r="Q119" i="14"/>
  <c r="E210" i="14"/>
  <c r="C209" i="14"/>
  <c r="D209" i="14" s="1"/>
  <c r="H212" i="14"/>
  <c r="P213" i="14"/>
  <c r="O120" i="14" l="1"/>
  <c r="I120" i="14"/>
  <c r="J120" i="14"/>
  <c r="N120" i="14"/>
  <c r="M120" i="14"/>
  <c r="K120" i="14"/>
  <c r="L120" i="14" s="1"/>
  <c r="C210" i="14"/>
  <c r="D210" i="14" s="1"/>
  <c r="E211" i="14"/>
  <c r="P214" i="14"/>
  <c r="H213" i="14"/>
  <c r="M121" i="14" l="1"/>
  <c r="N121" i="14"/>
  <c r="O121" i="14"/>
  <c r="I121" i="14"/>
  <c r="J121" i="14"/>
  <c r="Q120" i="14"/>
  <c r="E212" i="14"/>
  <c r="C211" i="14"/>
  <c r="D211" i="14" s="1"/>
  <c r="P215" i="14"/>
  <c r="H214" i="14"/>
  <c r="K121" i="14" l="1"/>
  <c r="L121" i="14" s="1"/>
  <c r="Q121" i="14"/>
  <c r="C212" i="14"/>
  <c r="D212" i="14" s="1"/>
  <c r="E213" i="14"/>
  <c r="H215" i="14"/>
  <c r="P216" i="14"/>
  <c r="I122" i="14" l="1"/>
  <c r="N122" i="14"/>
  <c r="M122" i="14"/>
  <c r="J122" i="14"/>
  <c r="O122" i="14"/>
  <c r="C213" i="14"/>
  <c r="D213" i="14" s="1"/>
  <c r="E214" i="14"/>
  <c r="H216" i="14"/>
  <c r="P217" i="14"/>
  <c r="K122" i="14" l="1"/>
  <c r="L122" i="14" s="1"/>
  <c r="Q122" i="14"/>
  <c r="C214" i="14"/>
  <c r="D214" i="14" s="1"/>
  <c r="E215" i="14"/>
  <c r="H217" i="14"/>
  <c r="P218" i="14"/>
  <c r="J123" i="14" l="1"/>
  <c r="M123" i="14"/>
  <c r="N123" i="14"/>
  <c r="I123" i="14"/>
  <c r="O123" i="14"/>
  <c r="E216" i="14"/>
  <c r="C215" i="14"/>
  <c r="D215" i="14" s="1"/>
  <c r="P219" i="14"/>
  <c r="H218" i="14"/>
  <c r="Q123" i="14" l="1"/>
  <c r="K123" i="14"/>
  <c r="L123" i="14" s="1"/>
  <c r="C216" i="14"/>
  <c r="D216" i="14" s="1"/>
  <c r="E217" i="14"/>
  <c r="P220" i="14"/>
  <c r="H219" i="14"/>
  <c r="I124" i="14" l="1"/>
  <c r="N124" i="14"/>
  <c r="O124" i="14"/>
  <c r="J124" i="14"/>
  <c r="M124" i="14"/>
  <c r="C217" i="14"/>
  <c r="D217" i="14" s="1"/>
  <c r="E218" i="14"/>
  <c r="H220" i="14"/>
  <c r="P221" i="14"/>
  <c r="K124" i="14" l="1"/>
  <c r="L124" i="14" s="1"/>
  <c r="Q124" i="14"/>
  <c r="C218" i="14"/>
  <c r="D218" i="14" s="1"/>
  <c r="E219" i="14"/>
  <c r="H221" i="14"/>
  <c r="P222" i="14"/>
  <c r="I125" i="14" l="1"/>
  <c r="M125" i="14"/>
  <c r="O125" i="14"/>
  <c r="J125" i="14"/>
  <c r="N125" i="14"/>
  <c r="E220" i="14"/>
  <c r="C219" i="14"/>
  <c r="D219" i="14" s="1"/>
  <c r="P223" i="14"/>
  <c r="H222" i="14"/>
  <c r="K125" i="14" l="1"/>
  <c r="L125" i="14" s="1"/>
  <c r="M126" i="14" s="1"/>
  <c r="O126" i="14"/>
  <c r="J126" i="14"/>
  <c r="N126" i="14"/>
  <c r="Q125" i="14"/>
  <c r="C220" i="14"/>
  <c r="D220" i="14" s="1"/>
  <c r="E221" i="14"/>
  <c r="P224" i="14"/>
  <c r="H223" i="14"/>
  <c r="I126" i="14" l="1"/>
  <c r="K126" i="14"/>
  <c r="L126" i="14" s="1"/>
  <c r="I127" i="14" s="1"/>
  <c r="Q126" i="14"/>
  <c r="N127" i="14"/>
  <c r="E222" i="14"/>
  <c r="C221" i="14"/>
  <c r="D221" i="14" s="1"/>
  <c r="P225" i="14"/>
  <c r="H224" i="14"/>
  <c r="O127" i="14" l="1"/>
  <c r="J127" i="14"/>
  <c r="M127" i="14"/>
  <c r="K127" i="14"/>
  <c r="L127" i="14" s="1"/>
  <c r="C222" i="14"/>
  <c r="D222" i="14" s="1"/>
  <c r="E223" i="14"/>
  <c r="H225" i="14"/>
  <c r="P226" i="14"/>
  <c r="Q127" i="14" l="1"/>
  <c r="O128" i="14"/>
  <c r="J128" i="14"/>
  <c r="I128" i="14"/>
  <c r="N128" i="14"/>
  <c r="M128" i="14"/>
  <c r="E224" i="14"/>
  <c r="C223" i="14"/>
  <c r="D223" i="14" s="1"/>
  <c r="P227" i="14"/>
  <c r="H226" i="14"/>
  <c r="K128" i="14" l="1"/>
  <c r="L128" i="14" s="1"/>
  <c r="Q128" i="14"/>
  <c r="O129" i="14"/>
  <c r="N129" i="14"/>
  <c r="I129" i="14"/>
  <c r="J129" i="14"/>
  <c r="M129" i="14"/>
  <c r="C224" i="14"/>
  <c r="D224" i="14" s="1"/>
  <c r="E225" i="14"/>
  <c r="H227" i="14"/>
  <c r="P228" i="14"/>
  <c r="K129" i="14" l="1"/>
  <c r="L129" i="14" s="1"/>
  <c r="I130" i="14" s="1"/>
  <c r="Q129" i="14"/>
  <c r="C225" i="14"/>
  <c r="D225" i="14" s="1"/>
  <c r="E226" i="14"/>
  <c r="P229" i="14"/>
  <c r="H228" i="14"/>
  <c r="M130" i="14" l="1"/>
  <c r="J130" i="14"/>
  <c r="O130" i="14"/>
  <c r="N130" i="14"/>
  <c r="K130" i="14"/>
  <c r="L130" i="14" s="1"/>
  <c r="M131" i="14" s="1"/>
  <c r="C226" i="14"/>
  <c r="D226" i="14" s="1"/>
  <c r="E227" i="14"/>
  <c r="H229" i="14"/>
  <c r="P230" i="14"/>
  <c r="J131" i="14" l="1"/>
  <c r="I131" i="14"/>
  <c r="Q130" i="14"/>
  <c r="N131" i="14"/>
  <c r="O131" i="14"/>
  <c r="K131" i="14"/>
  <c r="L131" i="14" s="1"/>
  <c r="C227" i="14"/>
  <c r="D227" i="14" s="1"/>
  <c r="E228" i="14"/>
  <c r="P231" i="14"/>
  <c r="H230" i="14"/>
  <c r="Q131" i="14" l="1"/>
  <c r="J132" i="14"/>
  <c r="M132" i="14"/>
  <c r="O132" i="14"/>
  <c r="I132" i="14"/>
  <c r="K132" i="14" s="1"/>
  <c r="L132" i="14" s="1"/>
  <c r="N132" i="14"/>
  <c r="C228" i="14"/>
  <c r="D228" i="14" s="1"/>
  <c r="E229" i="14"/>
  <c r="H231" i="14"/>
  <c r="P232" i="14"/>
  <c r="Q132" i="14" l="1"/>
  <c r="M133" i="14"/>
  <c r="O133" i="14"/>
  <c r="J133" i="14"/>
  <c r="I133" i="14"/>
  <c r="N133" i="14"/>
  <c r="C229" i="14"/>
  <c r="D229" i="14" s="1"/>
  <c r="E230" i="14"/>
  <c r="P233" i="14"/>
  <c r="H232" i="14"/>
  <c r="K133" i="14" l="1"/>
  <c r="L133" i="14" s="1"/>
  <c r="O134" i="14"/>
  <c r="M134" i="14"/>
  <c r="J134" i="14"/>
  <c r="I134" i="14"/>
  <c r="K134" i="14" s="1"/>
  <c r="L134" i="14" s="1"/>
  <c r="N134" i="14"/>
  <c r="Q133" i="14"/>
  <c r="C230" i="14"/>
  <c r="D230" i="14" s="1"/>
  <c r="E231" i="14"/>
  <c r="H233" i="14"/>
  <c r="P234" i="14"/>
  <c r="N135" i="14" l="1"/>
  <c r="O135" i="14"/>
  <c r="M135" i="14"/>
  <c r="J135" i="14"/>
  <c r="I135" i="14"/>
  <c r="Q134" i="14"/>
  <c r="C231" i="14"/>
  <c r="D231" i="14" s="1"/>
  <c r="E232" i="14"/>
  <c r="P235" i="14"/>
  <c r="H234" i="14"/>
  <c r="Q135" i="14" l="1"/>
  <c r="K135" i="14"/>
  <c r="L135" i="14" s="1"/>
  <c r="C232" i="14"/>
  <c r="D232" i="14" s="1"/>
  <c r="E233" i="14"/>
  <c r="H235" i="14"/>
  <c r="P236" i="14"/>
  <c r="O136" i="14" l="1"/>
  <c r="I136" i="14"/>
  <c r="J136" i="14"/>
  <c r="N136" i="14"/>
  <c r="M136" i="14"/>
  <c r="K136" i="14"/>
  <c r="L136" i="14" s="1"/>
  <c r="E234" i="14"/>
  <c r="C233" i="14"/>
  <c r="D233" i="14" s="1"/>
  <c r="P237" i="14"/>
  <c r="H236" i="14"/>
  <c r="M137" i="14" l="1"/>
  <c r="N137" i="14"/>
  <c r="O137" i="14"/>
  <c r="I137" i="14"/>
  <c r="J137" i="14"/>
  <c r="Q136" i="14"/>
  <c r="C234" i="14"/>
  <c r="D234" i="14" s="1"/>
  <c r="E235" i="14"/>
  <c r="H237" i="14"/>
  <c r="P238" i="14"/>
  <c r="Q137" i="14" l="1"/>
  <c r="K137" i="14"/>
  <c r="L137" i="14" s="1"/>
  <c r="C235" i="14"/>
  <c r="D235" i="14" s="1"/>
  <c r="E236" i="14"/>
  <c r="P239" i="14"/>
  <c r="H238" i="14"/>
  <c r="O138" i="14" l="1"/>
  <c r="M138" i="14"/>
  <c r="I138" i="14"/>
  <c r="N138" i="14"/>
  <c r="J138" i="14"/>
  <c r="K138" i="14" s="1"/>
  <c r="L138" i="14" s="1"/>
  <c r="C236" i="14"/>
  <c r="D236" i="14" s="1"/>
  <c r="E237" i="14"/>
  <c r="H239" i="14"/>
  <c r="P240" i="14"/>
  <c r="O139" i="14" l="1"/>
  <c r="N139" i="14"/>
  <c r="M139" i="14"/>
  <c r="I139" i="14"/>
  <c r="K139" i="14" s="1"/>
  <c r="L139" i="14" s="1"/>
  <c r="J139" i="14"/>
  <c r="Q138" i="14"/>
  <c r="E238" i="14"/>
  <c r="C237" i="14"/>
  <c r="D237" i="14" s="1"/>
  <c r="P241" i="14"/>
  <c r="H240" i="14"/>
  <c r="Q139" i="14" l="1"/>
  <c r="M140" i="14"/>
  <c r="I140" i="14"/>
  <c r="N140" i="14"/>
  <c r="O140" i="14"/>
  <c r="J140" i="14"/>
  <c r="C238" i="14"/>
  <c r="D238" i="14" s="1"/>
  <c r="E239" i="14"/>
  <c r="H241" i="14"/>
  <c r="P242" i="14"/>
  <c r="K140" i="14" l="1"/>
  <c r="L140" i="14" s="1"/>
  <c r="J141" i="14" s="1"/>
  <c r="Q140" i="14"/>
  <c r="E240" i="14"/>
  <c r="C239" i="14"/>
  <c r="D239" i="14" s="1"/>
  <c r="P243" i="14"/>
  <c r="H242" i="14"/>
  <c r="M141" i="14" l="1"/>
  <c r="I141" i="14"/>
  <c r="O141" i="14"/>
  <c r="N141" i="14"/>
  <c r="Q141" i="14" s="1"/>
  <c r="K141" i="14"/>
  <c r="L141" i="14" s="1"/>
  <c r="C240" i="14"/>
  <c r="D240" i="14" s="1"/>
  <c r="E241" i="14"/>
  <c r="H243" i="14"/>
  <c r="P244" i="14"/>
  <c r="J142" i="14" l="1"/>
  <c r="I142" i="14"/>
  <c r="O142" i="14"/>
  <c r="M142" i="14"/>
  <c r="N142" i="14"/>
  <c r="E242" i="14"/>
  <c r="C241" i="14"/>
  <c r="D241" i="14" s="1"/>
  <c r="P245" i="14"/>
  <c r="H244" i="14"/>
  <c r="K142" i="14" l="1"/>
  <c r="L142" i="14" s="1"/>
  <c r="J143" i="14" s="1"/>
  <c r="O143" i="14"/>
  <c r="M143" i="14"/>
  <c r="N143" i="14"/>
  <c r="Q142" i="14"/>
  <c r="C242" i="14"/>
  <c r="D242" i="14" s="1"/>
  <c r="E243" i="14"/>
  <c r="H245" i="14"/>
  <c r="P246" i="14"/>
  <c r="I143" i="14" l="1"/>
  <c r="K143" i="14" s="1"/>
  <c r="L143" i="14" s="1"/>
  <c r="Q143" i="14"/>
  <c r="O144" i="14"/>
  <c r="N144" i="14"/>
  <c r="I144" i="14"/>
  <c r="J144" i="14"/>
  <c r="M144" i="14"/>
  <c r="E244" i="14"/>
  <c r="C243" i="14"/>
  <c r="D243" i="14" s="1"/>
  <c r="P247" i="14"/>
  <c r="H246" i="14"/>
  <c r="K144" i="14" l="1"/>
  <c r="L144" i="14" s="1"/>
  <c r="O145" i="14" s="1"/>
  <c r="M145" i="14"/>
  <c r="N145" i="14"/>
  <c r="J145" i="14"/>
  <c r="I145" i="14"/>
  <c r="Q144" i="14"/>
  <c r="C244" i="14"/>
  <c r="D244" i="14" s="1"/>
  <c r="E245" i="14"/>
  <c r="H247" i="14"/>
  <c r="P248" i="14"/>
  <c r="Q145" i="14" l="1"/>
  <c r="K145" i="14"/>
  <c r="L145" i="14" s="1"/>
  <c r="E246" i="14"/>
  <c r="C245" i="14"/>
  <c r="D245" i="14" s="1"/>
  <c r="P249" i="14"/>
  <c r="H248" i="14"/>
  <c r="N146" i="14" l="1"/>
  <c r="O146" i="14"/>
  <c r="M146" i="14"/>
  <c r="J146" i="14"/>
  <c r="I146" i="14"/>
  <c r="C246" i="14"/>
  <c r="D246" i="14" s="1"/>
  <c r="E247" i="14"/>
  <c r="H249" i="14"/>
  <c r="P250" i="14"/>
  <c r="K146" i="14" l="1"/>
  <c r="L146" i="14" s="1"/>
  <c r="Q146" i="14"/>
  <c r="E248" i="14"/>
  <c r="C247" i="14"/>
  <c r="D247" i="14" s="1"/>
  <c r="P251" i="14"/>
  <c r="H250" i="14"/>
  <c r="N147" i="14" l="1"/>
  <c r="I147" i="14"/>
  <c r="M147" i="14"/>
  <c r="O147" i="14"/>
  <c r="J147" i="14"/>
  <c r="C248" i="14"/>
  <c r="D248" i="14" s="1"/>
  <c r="E249" i="14"/>
  <c r="H251" i="14"/>
  <c r="P252" i="14"/>
  <c r="K147" i="14" l="1"/>
  <c r="L147" i="14" s="1"/>
  <c r="M148" i="14"/>
  <c r="O148" i="14"/>
  <c r="I148" i="14"/>
  <c r="J148" i="14"/>
  <c r="N148" i="14"/>
  <c r="Q147" i="14"/>
  <c r="E250" i="14"/>
  <c r="C249" i="14"/>
  <c r="D249" i="14" s="1"/>
  <c r="P253" i="14"/>
  <c r="H252" i="14"/>
  <c r="K148" i="14" l="1"/>
  <c r="L148" i="14" s="1"/>
  <c r="I149" i="14" s="1"/>
  <c r="J149" i="14"/>
  <c r="K149" i="14" s="1"/>
  <c r="L149" i="14" s="1"/>
  <c r="O149" i="14"/>
  <c r="Q148" i="14"/>
  <c r="N149" i="14"/>
  <c r="M149" i="14"/>
  <c r="C250" i="14"/>
  <c r="D250" i="14" s="1"/>
  <c r="E251" i="14"/>
  <c r="H253" i="14"/>
  <c r="P254" i="14"/>
  <c r="O150" i="14" l="1"/>
  <c r="N150" i="14"/>
  <c r="Q149" i="14"/>
  <c r="I150" i="14"/>
  <c r="M150" i="14"/>
  <c r="J150" i="14"/>
  <c r="C251" i="14"/>
  <c r="D251" i="14" s="1"/>
  <c r="E252" i="14"/>
  <c r="P255" i="14"/>
  <c r="H254" i="14"/>
  <c r="Q150" i="14" l="1"/>
  <c r="K150" i="14"/>
  <c r="L150" i="14" s="1"/>
  <c r="C252" i="14"/>
  <c r="D252" i="14" s="1"/>
  <c r="E253" i="14"/>
  <c r="H255" i="14"/>
  <c r="P256" i="14"/>
  <c r="N151" i="14" l="1"/>
  <c r="J151" i="14"/>
  <c r="O151" i="14"/>
  <c r="I151" i="14"/>
  <c r="M151" i="14"/>
  <c r="E254" i="14"/>
  <c r="C253" i="14"/>
  <c r="D253" i="14" s="1"/>
  <c r="P257" i="14"/>
  <c r="H256" i="14"/>
  <c r="Q151" i="14" l="1"/>
  <c r="K151" i="14"/>
  <c r="L151" i="14" s="1"/>
  <c r="C254" i="14"/>
  <c r="D254" i="14" s="1"/>
  <c r="E255" i="14"/>
  <c r="H257" i="14"/>
  <c r="P258" i="14"/>
  <c r="I152" i="14" l="1"/>
  <c r="O152" i="14"/>
  <c r="M152" i="14"/>
  <c r="J152" i="14"/>
  <c r="N152" i="14"/>
  <c r="C255" i="14"/>
  <c r="D255" i="14" s="1"/>
  <c r="E256" i="14"/>
  <c r="H258" i="14"/>
  <c r="P259" i="14"/>
  <c r="H259" i="14" s="1"/>
  <c r="Q152" i="14" l="1"/>
  <c r="K152" i="14"/>
  <c r="L152" i="14" s="1"/>
  <c r="C256" i="14"/>
  <c r="D256" i="14" s="1"/>
  <c r="E257" i="14"/>
  <c r="O153" i="14" l="1"/>
  <c r="I153" i="14"/>
  <c r="M153" i="14"/>
  <c r="J153" i="14"/>
  <c r="K153" i="14" s="1"/>
  <c r="L153" i="14" s="1"/>
  <c r="N153" i="14"/>
  <c r="E258" i="14"/>
  <c r="C257" i="14"/>
  <c r="D257" i="14" s="1"/>
  <c r="M154" i="14" l="1"/>
  <c r="N154" i="14"/>
  <c r="I154" i="14"/>
  <c r="J154" i="14"/>
  <c r="O154" i="14"/>
  <c r="Q153" i="14"/>
  <c r="C258" i="14"/>
  <c r="D258" i="14" s="1"/>
  <c r="E259" i="14"/>
  <c r="C259" i="14" s="1"/>
  <c r="D259" i="14" s="1"/>
  <c r="K154" i="14" l="1"/>
  <c r="L154" i="14" s="1"/>
  <c r="O155" i="14" s="1"/>
  <c r="Q154" i="14"/>
  <c r="I155" i="14"/>
  <c r="J155" i="14"/>
  <c r="M155" i="14"/>
  <c r="N155" i="14"/>
  <c r="Q155" i="14" s="1"/>
  <c r="K155" i="14" l="1"/>
  <c r="L155" i="14" s="1"/>
  <c r="M156" i="14" s="1"/>
  <c r="N156" i="14"/>
  <c r="J156" i="14"/>
  <c r="O156" i="14"/>
  <c r="I156" i="14"/>
  <c r="Q156" i="14" l="1"/>
  <c r="K156" i="14"/>
  <c r="L156" i="14" s="1"/>
  <c r="O157" i="14" s="1"/>
  <c r="N157" i="14"/>
  <c r="I157" i="14"/>
  <c r="M157" i="14"/>
  <c r="J157" i="14"/>
  <c r="K157" i="14" l="1"/>
  <c r="L157" i="14" s="1"/>
  <c r="O158" i="14" s="1"/>
  <c r="I158" i="14"/>
  <c r="M158" i="14"/>
  <c r="J158" i="14"/>
  <c r="N158" i="14"/>
  <c r="Q157" i="14"/>
  <c r="K158" i="14" l="1"/>
  <c r="L158" i="14" s="1"/>
  <c r="I159" i="14" s="1"/>
  <c r="N159" i="14"/>
  <c r="O159" i="14"/>
  <c r="J159" i="14"/>
  <c r="M159" i="14"/>
  <c r="Q158" i="14"/>
  <c r="K159" i="14" l="1"/>
  <c r="L159" i="14" s="1"/>
  <c r="M160" i="14" s="1"/>
  <c r="N160" i="14"/>
  <c r="J160" i="14"/>
  <c r="O160" i="14"/>
  <c r="I160" i="14"/>
  <c r="Q159" i="14"/>
  <c r="Q160" i="14" l="1"/>
  <c r="K160" i="14"/>
  <c r="L160" i="14" s="1"/>
  <c r="N161" i="14" l="1"/>
  <c r="I161" i="14"/>
  <c r="O161" i="14"/>
  <c r="M161" i="14"/>
  <c r="J161" i="14"/>
  <c r="K161" i="14" s="1"/>
  <c r="L161" i="14" s="1"/>
  <c r="M162" i="14" l="1"/>
  <c r="J162" i="14"/>
  <c r="O162" i="14"/>
  <c r="I162" i="14"/>
  <c r="K162" i="14" s="1"/>
  <c r="L162" i="14" s="1"/>
  <c r="N162" i="14"/>
  <c r="Q161" i="14"/>
  <c r="J163" i="14" l="1"/>
  <c r="M163" i="14"/>
  <c r="O163" i="14"/>
  <c r="I163" i="14"/>
  <c r="N163" i="14"/>
  <c r="Q162" i="14"/>
  <c r="K163" i="14" l="1"/>
  <c r="L163" i="14" s="1"/>
  <c r="I164" i="14"/>
  <c r="M164" i="14"/>
  <c r="O164" i="14"/>
  <c r="N164" i="14"/>
  <c r="J164" i="14"/>
  <c r="Q163" i="14"/>
  <c r="K164" i="14" l="1"/>
  <c r="L164" i="14" s="1"/>
  <c r="M165" i="14" s="1"/>
  <c r="Q164" i="14"/>
  <c r="J165" i="14" l="1"/>
  <c r="N165" i="14"/>
  <c r="O165" i="14"/>
  <c r="I165" i="14"/>
  <c r="Q165" i="14" l="1"/>
  <c r="K165" i="14"/>
  <c r="L165" i="14" s="1"/>
  <c r="I166" i="14" l="1"/>
  <c r="O166" i="14"/>
  <c r="J166" i="14"/>
  <c r="M166" i="14"/>
  <c r="N166" i="14"/>
  <c r="Q166" i="14" l="1"/>
  <c r="K166" i="14"/>
  <c r="L166" i="14" s="1"/>
  <c r="N167" i="14" l="1"/>
  <c r="J167" i="14"/>
  <c r="O167" i="14"/>
  <c r="M167" i="14"/>
  <c r="I167" i="14"/>
  <c r="Q167" i="14" l="1"/>
  <c r="K167" i="14"/>
  <c r="L167" i="14" s="1"/>
  <c r="J168" i="14" l="1"/>
  <c r="N168" i="14"/>
  <c r="O168" i="14"/>
  <c r="M168" i="14"/>
  <c r="I168" i="14"/>
  <c r="Q168" i="14" l="1"/>
  <c r="K168" i="14"/>
  <c r="L168" i="14" s="1"/>
  <c r="M169" i="14" l="1"/>
  <c r="N169" i="14"/>
  <c r="J169" i="14"/>
  <c r="I169" i="14"/>
  <c r="O169" i="14"/>
  <c r="Q169" i="14" l="1"/>
  <c r="K169" i="14"/>
  <c r="L169" i="14" s="1"/>
  <c r="I170" i="14" l="1"/>
  <c r="N170" i="14"/>
  <c r="M170" i="14"/>
  <c r="O170" i="14"/>
  <c r="J170" i="14"/>
  <c r="Q170" i="14" l="1"/>
  <c r="K170" i="14"/>
  <c r="L170" i="14" s="1"/>
  <c r="M171" i="14" l="1"/>
  <c r="J171" i="14"/>
  <c r="I171" i="14"/>
  <c r="O171" i="14"/>
  <c r="N171" i="14"/>
  <c r="K171" i="14" l="1"/>
  <c r="L171" i="14" s="1"/>
  <c r="Q171" i="14"/>
  <c r="J172" i="14" l="1"/>
  <c r="M172" i="14"/>
  <c r="N172" i="14"/>
  <c r="I172" i="14"/>
  <c r="O172" i="14"/>
  <c r="Q172" i="14" l="1"/>
  <c r="K172" i="14"/>
  <c r="L172" i="14" s="1"/>
  <c r="O173" i="14" l="1"/>
  <c r="I173" i="14"/>
  <c r="N173" i="14"/>
  <c r="M173" i="14"/>
  <c r="J173" i="14"/>
  <c r="K173" i="14" s="1"/>
  <c r="L173" i="14" s="1"/>
  <c r="I174" i="14" l="1"/>
  <c r="O174" i="14"/>
  <c r="M174" i="14"/>
  <c r="J174" i="14"/>
  <c r="N174" i="14"/>
  <c r="Q173" i="14"/>
  <c r="K174" i="14" l="1"/>
  <c r="L174" i="14" s="1"/>
  <c r="N175" i="14"/>
  <c r="J175" i="14"/>
  <c r="I175" i="14"/>
  <c r="M175" i="14"/>
  <c r="O175" i="14"/>
  <c r="Q174" i="14"/>
  <c r="K175" i="14" l="1"/>
  <c r="L175" i="14" s="1"/>
  <c r="O176" i="14" s="1"/>
  <c r="J176" i="14"/>
  <c r="N176" i="14"/>
  <c r="I176" i="14"/>
  <c r="K176" i="14" s="1"/>
  <c r="L176" i="14" s="1"/>
  <c r="M176" i="14"/>
  <c r="Q175" i="14"/>
  <c r="M177" i="14" l="1"/>
  <c r="N177" i="14"/>
  <c r="O177" i="14"/>
  <c r="J177" i="14"/>
  <c r="I177" i="14"/>
  <c r="Q176" i="14"/>
  <c r="Q177" i="14" l="1"/>
  <c r="K177" i="14"/>
  <c r="L177" i="14" s="1"/>
  <c r="M178" i="14" l="1"/>
  <c r="N178" i="14"/>
  <c r="J178" i="14"/>
  <c r="I178" i="14"/>
  <c r="O178" i="14"/>
  <c r="K178" i="14" l="1"/>
  <c r="L178" i="14" s="1"/>
  <c r="Q178" i="14"/>
  <c r="N179" i="14" l="1"/>
  <c r="I179" i="14"/>
  <c r="O179" i="14"/>
  <c r="M179" i="14"/>
  <c r="J179" i="14"/>
  <c r="K179" i="14" s="1"/>
  <c r="L179" i="14" s="1"/>
  <c r="J180" i="14" l="1"/>
  <c r="I180" i="14"/>
  <c r="N180" i="14"/>
  <c r="M180" i="14"/>
  <c r="O180" i="14"/>
  <c r="K180" i="14"/>
  <c r="L180" i="14" s="1"/>
  <c r="Q179" i="14"/>
  <c r="J181" i="14" l="1"/>
  <c r="N181" i="14"/>
  <c r="I181" i="14"/>
  <c r="O181" i="14"/>
  <c r="Q180" i="14"/>
  <c r="M181" i="14"/>
  <c r="Q181" i="14" l="1"/>
  <c r="K181" i="14"/>
  <c r="L181" i="14" s="1"/>
  <c r="O182" i="14" l="1"/>
  <c r="N182" i="14"/>
  <c r="J182" i="14"/>
  <c r="I182" i="14"/>
  <c r="M182" i="14"/>
  <c r="K182" i="14" l="1"/>
  <c r="L182" i="14" s="1"/>
  <c r="Q182" i="14"/>
  <c r="N183" i="14" l="1"/>
  <c r="I183" i="14"/>
  <c r="J183" i="14"/>
  <c r="M183" i="14"/>
  <c r="O183" i="14"/>
  <c r="K183" i="14" l="1"/>
  <c r="L183" i="14" s="1"/>
  <c r="M184" i="14" s="1"/>
  <c r="N184" i="14"/>
  <c r="J184" i="14"/>
  <c r="O184" i="14"/>
  <c r="Q183" i="14"/>
  <c r="I184" i="14" l="1"/>
  <c r="K184" i="14"/>
  <c r="L184" i="14" s="1"/>
  <c r="O185" i="14" s="1"/>
  <c r="N185" i="14"/>
  <c r="I185" i="14"/>
  <c r="M185" i="14"/>
  <c r="Q184" i="14"/>
  <c r="J185" i="14" l="1"/>
  <c r="K185" i="14"/>
  <c r="L185" i="14" s="1"/>
  <c r="Q185" i="14"/>
  <c r="M186" i="14" l="1"/>
  <c r="I186" i="14"/>
  <c r="O186" i="14"/>
  <c r="J186" i="14"/>
  <c r="N186" i="14"/>
  <c r="K186" i="14" l="1"/>
  <c r="L186" i="14" s="1"/>
  <c r="Q186" i="14"/>
  <c r="J187" i="14" l="1"/>
  <c r="O187" i="14"/>
  <c r="N187" i="14"/>
  <c r="M187" i="14"/>
  <c r="I187" i="14"/>
  <c r="K187" i="14" s="1"/>
  <c r="L187" i="14" s="1"/>
  <c r="Q187" i="14" l="1"/>
  <c r="I188" i="14"/>
  <c r="M188" i="14"/>
  <c r="J188" i="14"/>
  <c r="N188" i="14"/>
  <c r="O188" i="14"/>
  <c r="Q188" i="14" l="1"/>
  <c r="K188" i="14"/>
  <c r="L188" i="14" s="1"/>
  <c r="I189" i="14" l="1"/>
  <c r="N189" i="14"/>
  <c r="J189" i="14"/>
  <c r="M189" i="14"/>
  <c r="O189" i="14"/>
  <c r="K189" i="14"/>
  <c r="L189" i="14" s="1"/>
  <c r="M190" i="14" l="1"/>
  <c r="I190" i="14"/>
  <c r="N190" i="14"/>
  <c r="O190" i="14"/>
  <c r="J190" i="14"/>
  <c r="K190" i="14" s="1"/>
  <c r="L190" i="14" s="1"/>
  <c r="Q189" i="14"/>
  <c r="M191" i="14" l="1"/>
  <c r="N191" i="14"/>
  <c r="O191" i="14"/>
  <c r="I191" i="14"/>
  <c r="J191" i="14"/>
  <c r="K191" i="14" s="1"/>
  <c r="L191" i="14" s="1"/>
  <c r="Q190" i="14"/>
  <c r="M192" i="14" l="1"/>
  <c r="N192" i="14"/>
  <c r="I192" i="14"/>
  <c r="J192" i="14"/>
  <c r="O192" i="14"/>
  <c r="Q191" i="14"/>
  <c r="Q192" i="14" l="1"/>
  <c r="K192" i="14"/>
  <c r="L192" i="14" s="1"/>
  <c r="J193" i="14" s="1"/>
  <c r="N193" i="14"/>
  <c r="I193" i="14" l="1"/>
  <c r="O193" i="14"/>
  <c r="M193" i="14"/>
  <c r="Q193" i="14" l="1"/>
  <c r="K193" i="14"/>
  <c r="L193" i="14" s="1"/>
  <c r="I194" i="14" l="1"/>
  <c r="M194" i="14"/>
  <c r="O194" i="14"/>
  <c r="N194" i="14"/>
  <c r="J194" i="14"/>
  <c r="Q194" i="14" l="1"/>
  <c r="K194" i="14"/>
  <c r="L194" i="14" s="1"/>
  <c r="M195" i="14" l="1"/>
  <c r="I195" i="14"/>
  <c r="O195" i="14"/>
  <c r="J195" i="14"/>
  <c r="N195" i="14"/>
  <c r="K195" i="14" l="1"/>
  <c r="L195" i="14" s="1"/>
  <c r="Q195" i="14"/>
  <c r="I196" i="14" l="1"/>
  <c r="N196" i="14"/>
  <c r="O196" i="14"/>
  <c r="M196" i="14"/>
  <c r="J196" i="14"/>
  <c r="Q196" i="14" l="1"/>
  <c r="K196" i="14"/>
  <c r="L196" i="14" s="1"/>
  <c r="N197" i="14" l="1"/>
  <c r="O197" i="14"/>
  <c r="M197" i="14"/>
  <c r="I197" i="14"/>
  <c r="K197" i="14" s="1"/>
  <c r="L197" i="14" s="1"/>
  <c r="J197" i="14"/>
  <c r="I198" i="14" l="1"/>
  <c r="O198" i="14"/>
  <c r="M198" i="14"/>
  <c r="J198" i="14"/>
  <c r="N198" i="14"/>
  <c r="K198" i="14"/>
  <c r="L198" i="14" s="1"/>
  <c r="Q197" i="14"/>
  <c r="J199" i="14" l="1"/>
  <c r="O199" i="14"/>
  <c r="I199" i="14"/>
  <c r="N199" i="14"/>
  <c r="M199" i="14"/>
  <c r="K199" i="14"/>
  <c r="L199" i="14" s="1"/>
  <c r="Q198" i="14"/>
  <c r="Q199" i="14" l="1"/>
  <c r="M200" i="14"/>
  <c r="J200" i="14"/>
  <c r="N200" i="14"/>
  <c r="O200" i="14"/>
  <c r="I200" i="14"/>
  <c r="Q200" i="14" l="1"/>
  <c r="K200" i="14"/>
  <c r="L200" i="14" s="1"/>
  <c r="O201" i="14" l="1"/>
  <c r="M201" i="14"/>
  <c r="J201" i="14"/>
  <c r="I201" i="14"/>
  <c r="N201" i="14"/>
  <c r="K201" i="14"/>
  <c r="L201" i="14" s="1"/>
  <c r="M202" i="14" s="1"/>
  <c r="N202" i="14" l="1"/>
  <c r="O202" i="14"/>
  <c r="Q201" i="14"/>
  <c r="I202" i="14"/>
  <c r="J202" i="14"/>
  <c r="Q202" i="14" l="1"/>
  <c r="K202" i="14"/>
  <c r="L202" i="14" s="1"/>
  <c r="J203" i="14" s="1"/>
  <c r="O203" i="14"/>
  <c r="M203" i="14"/>
  <c r="I203" i="14"/>
  <c r="N203" i="14"/>
  <c r="Q203" i="14" l="1"/>
  <c r="K203" i="14"/>
  <c r="L203" i="14" s="1"/>
  <c r="O204" i="14" l="1"/>
  <c r="I204" i="14"/>
  <c r="M204" i="14"/>
  <c r="J204" i="14"/>
  <c r="N204" i="14"/>
  <c r="Q204" i="14" l="1"/>
  <c r="K204" i="14"/>
  <c r="L204" i="14" s="1"/>
  <c r="J205" i="14" l="1"/>
  <c r="I205" i="14"/>
  <c r="O205" i="14"/>
  <c r="M205" i="14"/>
  <c r="N205" i="14"/>
  <c r="K205" i="14" l="1"/>
  <c r="L205" i="14" s="1"/>
  <c r="N206" i="14" s="1"/>
  <c r="Q205" i="14"/>
  <c r="O206" i="14" l="1"/>
  <c r="M206" i="14"/>
  <c r="J206" i="14"/>
  <c r="I206" i="14"/>
  <c r="K206" i="14" s="1"/>
  <c r="L206" i="14" s="1"/>
  <c r="N207" i="14" s="1"/>
  <c r="Q206" i="14" l="1"/>
  <c r="M207" i="14"/>
  <c r="O207" i="14"/>
  <c r="I207" i="14"/>
  <c r="J207" i="14"/>
  <c r="Q207" i="14" l="1"/>
  <c r="K207" i="14"/>
  <c r="L207" i="14" s="1"/>
  <c r="J208" i="14" l="1"/>
  <c r="I208" i="14"/>
  <c r="N208" i="14"/>
  <c r="O208" i="14"/>
  <c r="M208" i="14"/>
  <c r="Q208" i="14" l="1"/>
  <c r="K208" i="14"/>
  <c r="L208" i="14" s="1"/>
  <c r="I209" i="14" l="1"/>
  <c r="O209" i="14"/>
  <c r="M209" i="14"/>
  <c r="N209" i="14"/>
  <c r="J209" i="14"/>
  <c r="K209" i="14" l="1"/>
  <c r="L209" i="14" s="1"/>
  <c r="Q209" i="14"/>
  <c r="N210" i="14" l="1"/>
  <c r="I210" i="14"/>
  <c r="M210" i="14"/>
  <c r="J210" i="14"/>
  <c r="K210" i="14" s="1"/>
  <c r="L210" i="14" s="1"/>
  <c r="O210" i="14"/>
  <c r="Q210" i="14" l="1"/>
  <c r="I211" i="14"/>
  <c r="M211" i="14"/>
  <c r="O211" i="14"/>
  <c r="N211" i="14"/>
  <c r="J211" i="14"/>
  <c r="K211" i="14" l="1"/>
  <c r="L211" i="14" s="1"/>
  <c r="Q211" i="14"/>
  <c r="N212" i="14" l="1"/>
  <c r="O212" i="14"/>
  <c r="M212" i="14"/>
  <c r="I212" i="14"/>
  <c r="J212" i="14"/>
  <c r="K212" i="14" l="1"/>
  <c r="L212" i="14" s="1"/>
  <c r="I213" i="14" s="1"/>
  <c r="Q212" i="14"/>
  <c r="O213" i="14"/>
  <c r="M213" i="14"/>
  <c r="J213" i="14"/>
  <c r="N213" i="14"/>
  <c r="Q213" i="14" l="1"/>
  <c r="K213" i="14"/>
  <c r="L213" i="14" s="1"/>
  <c r="O214" i="14" l="1"/>
  <c r="J214" i="14"/>
  <c r="I214" i="14"/>
  <c r="M214" i="14"/>
  <c r="N214" i="14"/>
  <c r="K214" i="14" l="1"/>
  <c r="L214" i="14" s="1"/>
  <c r="M215" i="14" s="1"/>
  <c r="Q214" i="14"/>
  <c r="I215" i="14" l="1"/>
  <c r="O215" i="14"/>
  <c r="J215" i="14"/>
  <c r="N215" i="14"/>
  <c r="K215" i="14" l="1"/>
  <c r="L215" i="14" s="1"/>
  <c r="O216" i="14" s="1"/>
  <c r="Q215" i="14"/>
  <c r="J216" i="14" l="1"/>
  <c r="M216" i="14"/>
  <c r="I216" i="14"/>
  <c r="K216" i="14" s="1"/>
  <c r="L216" i="14" s="1"/>
  <c r="J217" i="14" s="1"/>
  <c r="N216" i="14"/>
  <c r="N217" i="14"/>
  <c r="M217" i="14"/>
  <c r="I217" i="14" l="1"/>
  <c r="O217" i="14"/>
  <c r="Q217" i="14" s="1"/>
  <c r="Q216" i="14"/>
  <c r="K217" i="14"/>
  <c r="L217" i="14" s="1"/>
  <c r="J218" i="14" s="1"/>
  <c r="N218" i="14"/>
  <c r="I218" i="14"/>
  <c r="O218" i="14" l="1"/>
  <c r="M218" i="14"/>
  <c r="K218" i="14"/>
  <c r="L218" i="14" s="1"/>
  <c r="J219" i="14" s="1"/>
  <c r="Q218" i="14"/>
  <c r="I219" i="14" l="1"/>
  <c r="K219" i="14" s="1"/>
  <c r="L219" i="14" s="1"/>
  <c r="M220" i="14" s="1"/>
  <c r="M219" i="14"/>
  <c r="O219" i="14"/>
  <c r="N219" i="14"/>
  <c r="I220" i="14" l="1"/>
  <c r="O220" i="14"/>
  <c r="Q219" i="14"/>
  <c r="J220" i="14"/>
  <c r="N220" i="14"/>
  <c r="Q220" i="14" s="1"/>
  <c r="K220" i="14" l="1"/>
  <c r="L220" i="14" s="1"/>
  <c r="O221" i="14" s="1"/>
  <c r="M221" i="14"/>
  <c r="J221" i="14"/>
  <c r="I221" i="14"/>
  <c r="N221" i="14"/>
  <c r="Q221" i="14" l="1"/>
  <c r="K221" i="14"/>
  <c r="L221" i="14" s="1"/>
  <c r="M222" i="14" l="1"/>
  <c r="J222" i="14"/>
  <c r="I222" i="14"/>
  <c r="O222" i="14"/>
  <c r="N222" i="14"/>
  <c r="Q222" i="14" l="1"/>
  <c r="K222" i="14"/>
  <c r="L222" i="14" s="1"/>
  <c r="J223" i="14" l="1"/>
  <c r="O223" i="14"/>
  <c r="M223" i="14"/>
  <c r="I223" i="14"/>
  <c r="N223" i="14"/>
  <c r="Q223" i="14" l="1"/>
  <c r="K223" i="14"/>
  <c r="L223" i="14" s="1"/>
  <c r="O224" i="14" l="1"/>
  <c r="I224" i="14"/>
  <c r="J224" i="14"/>
  <c r="M224" i="14"/>
  <c r="N224" i="14"/>
  <c r="K224" i="14" l="1"/>
  <c r="L224" i="14" s="1"/>
  <c r="J225" i="14" s="1"/>
  <c r="Q224" i="14"/>
  <c r="N225" i="14" l="1"/>
  <c r="I225" i="14"/>
  <c r="M225" i="14"/>
  <c r="O225" i="14"/>
  <c r="K225" i="14"/>
  <c r="L225" i="14" s="1"/>
  <c r="Q225" i="14" l="1"/>
  <c r="M226" i="14"/>
  <c r="O226" i="14"/>
  <c r="I226" i="14"/>
  <c r="J226" i="14"/>
  <c r="N226" i="14"/>
  <c r="Q226" i="14" l="1"/>
  <c r="K226" i="14"/>
  <c r="L226" i="14" s="1"/>
  <c r="J227" i="14" l="1"/>
  <c r="O227" i="14"/>
  <c r="M227" i="14"/>
  <c r="I227" i="14"/>
  <c r="N227" i="14"/>
  <c r="Q227" i="14" l="1"/>
  <c r="K227" i="14"/>
  <c r="L227" i="14" s="1"/>
  <c r="O228" i="14" l="1"/>
  <c r="I228" i="14"/>
  <c r="M228" i="14"/>
  <c r="J228" i="14"/>
  <c r="N228" i="14"/>
  <c r="Q228" i="14" l="1"/>
  <c r="K228" i="14"/>
  <c r="L228" i="14" s="1"/>
  <c r="J229" i="14" l="1"/>
  <c r="M229" i="14"/>
  <c r="I229" i="14"/>
  <c r="O229" i="14"/>
  <c r="N229" i="14"/>
  <c r="K229" i="14" l="1"/>
  <c r="L229" i="14" s="1"/>
  <c r="O230" i="14" s="1"/>
  <c r="Q229" i="14"/>
  <c r="N230" i="14" l="1"/>
  <c r="J230" i="14"/>
  <c r="M230" i="14"/>
  <c r="I230" i="14"/>
  <c r="Q230" i="14" l="1"/>
  <c r="K230" i="14"/>
  <c r="L230" i="14" s="1"/>
  <c r="I231" i="14" s="1"/>
  <c r="N231" i="14"/>
  <c r="O231" i="14"/>
  <c r="M231" i="14"/>
  <c r="J231" i="14" l="1"/>
  <c r="K231" i="14" s="1"/>
  <c r="L231" i="14" s="1"/>
  <c r="Q231" i="14"/>
  <c r="I232" i="14" l="1"/>
  <c r="N232" i="14"/>
  <c r="J232" i="14"/>
  <c r="K232" i="14" s="1"/>
  <c r="L232" i="14" s="1"/>
  <c r="O232" i="14"/>
  <c r="M232" i="14"/>
  <c r="Q232" i="14" l="1"/>
  <c r="J233" i="14"/>
  <c r="O233" i="14"/>
  <c r="I233" i="14"/>
  <c r="M233" i="14"/>
  <c r="N233" i="14"/>
  <c r="K233" i="14" l="1"/>
  <c r="L233" i="14" s="1"/>
  <c r="O234" i="14" s="1"/>
  <c r="Q233" i="14"/>
  <c r="N234" i="14" l="1"/>
  <c r="M234" i="14"/>
  <c r="J234" i="14"/>
  <c r="I234" i="14"/>
  <c r="Q234" i="14" l="1"/>
  <c r="K234" i="14"/>
  <c r="L234" i="14" s="1"/>
  <c r="J235" i="14" s="1"/>
  <c r="N235" i="14"/>
  <c r="I235" i="14" l="1"/>
  <c r="O235" i="14"/>
  <c r="M235" i="14"/>
  <c r="K235" i="14"/>
  <c r="L235" i="14" s="1"/>
  <c r="Q235" i="14" l="1"/>
  <c r="O236" i="14"/>
  <c r="I236" i="14"/>
  <c r="M236" i="14"/>
  <c r="J236" i="14"/>
  <c r="N236" i="14"/>
  <c r="K236" i="14" l="1"/>
  <c r="L236" i="14" s="1"/>
  <c r="J237" i="14" s="1"/>
  <c r="Q236" i="14"/>
  <c r="N237" i="14" l="1"/>
  <c r="O237" i="14"/>
  <c r="I237" i="14"/>
  <c r="M237" i="14"/>
  <c r="K237" i="14"/>
  <c r="L237" i="14" s="1"/>
  <c r="Q237" i="14" l="1"/>
  <c r="M238" i="14"/>
  <c r="J238" i="14"/>
  <c r="O238" i="14"/>
  <c r="I238" i="14"/>
  <c r="N238" i="14"/>
  <c r="Q238" i="14" l="1"/>
  <c r="K238" i="14"/>
  <c r="L238" i="14" s="1"/>
  <c r="J239" i="14" l="1"/>
  <c r="O239" i="14"/>
  <c r="I239" i="14"/>
  <c r="M239" i="14"/>
  <c r="N239" i="14"/>
  <c r="K239" i="14" l="1"/>
  <c r="L239" i="14" s="1"/>
  <c r="O240" i="14" s="1"/>
  <c r="Q239" i="14"/>
  <c r="I240" i="14" l="1"/>
  <c r="N240" i="14"/>
  <c r="J240" i="14"/>
  <c r="M240" i="14"/>
  <c r="K240" i="14" l="1"/>
  <c r="L240" i="14" s="1"/>
  <c r="Q240" i="14"/>
  <c r="J241" i="14"/>
  <c r="M241" i="14"/>
  <c r="O241" i="14"/>
  <c r="I241" i="14"/>
  <c r="N241" i="14"/>
  <c r="Q241" i="14" l="1"/>
  <c r="K241" i="14"/>
  <c r="L241" i="14" s="1"/>
  <c r="O242" i="14" l="1"/>
  <c r="I242" i="14"/>
  <c r="M242" i="14"/>
  <c r="J242" i="14"/>
  <c r="N242" i="14"/>
  <c r="K242" i="14" l="1"/>
  <c r="L242" i="14" s="1"/>
  <c r="J243" i="14" s="1"/>
  <c r="Q242" i="14"/>
  <c r="I243" i="14" l="1"/>
  <c r="K243" i="14" s="1"/>
  <c r="L243" i="14" s="1"/>
  <c r="M243" i="14"/>
  <c r="N243" i="14"/>
  <c r="O243" i="14"/>
  <c r="Q243" i="14" l="1"/>
  <c r="M244" i="14"/>
  <c r="J244" i="14"/>
  <c r="O244" i="14"/>
  <c r="I244" i="14"/>
  <c r="N244" i="14"/>
  <c r="Q244" i="14" l="1"/>
  <c r="K244" i="14"/>
  <c r="L244" i="14" s="1"/>
  <c r="J245" i="14" l="1"/>
  <c r="O245" i="14"/>
  <c r="I245" i="14"/>
  <c r="M245" i="14"/>
  <c r="N245" i="14"/>
  <c r="K245" i="14" l="1"/>
  <c r="L245" i="14" s="1"/>
  <c r="O246" i="14" s="1"/>
  <c r="Q245" i="14"/>
  <c r="N246" i="14" l="1"/>
  <c r="J246" i="14"/>
  <c r="M246" i="14"/>
  <c r="I246" i="14"/>
  <c r="Q246" i="14" l="1"/>
  <c r="K246" i="14"/>
  <c r="L246" i="14" s="1"/>
  <c r="J247" i="14" s="1"/>
  <c r="N247" i="14" l="1"/>
  <c r="O247" i="14"/>
  <c r="I247" i="14"/>
  <c r="K247" i="14" s="1"/>
  <c r="L247" i="14" s="1"/>
  <c r="M247" i="14"/>
  <c r="Q247" i="14" l="1"/>
  <c r="O248" i="14"/>
  <c r="I248" i="14"/>
  <c r="M248" i="14"/>
  <c r="J248" i="14"/>
  <c r="K248" i="14" s="1"/>
  <c r="L248" i="14" s="1"/>
  <c r="N248" i="14"/>
  <c r="J249" i="14" l="1"/>
  <c r="O249" i="14"/>
  <c r="M249" i="14"/>
  <c r="I249" i="14"/>
  <c r="N249" i="14"/>
  <c r="Q248" i="14"/>
  <c r="Q249" i="14" l="1"/>
  <c r="K249" i="14"/>
  <c r="L249" i="14" s="1"/>
  <c r="M250" i="14" l="1"/>
  <c r="J250" i="14"/>
  <c r="O250" i="14"/>
  <c r="I250" i="14"/>
  <c r="N250" i="14"/>
  <c r="Q250" i="14" l="1"/>
  <c r="K250" i="14"/>
  <c r="L250" i="14" s="1"/>
  <c r="J251" i="14" l="1"/>
  <c r="O251" i="14"/>
  <c r="I251" i="14"/>
  <c r="M251" i="14"/>
  <c r="N251" i="14"/>
  <c r="Q251" i="14" l="1"/>
  <c r="K251" i="14"/>
  <c r="L251" i="14" s="1"/>
  <c r="O252" i="14" l="1"/>
  <c r="I252" i="14"/>
  <c r="M252" i="14"/>
  <c r="J252" i="14"/>
  <c r="N252" i="14"/>
  <c r="Q252" i="14" l="1"/>
  <c r="K252" i="14"/>
  <c r="L252" i="14" s="1"/>
  <c r="J253" i="14" l="1"/>
  <c r="M253" i="14"/>
  <c r="O253" i="14"/>
  <c r="I253" i="14"/>
  <c r="N253" i="14"/>
  <c r="Q253" i="14" l="1"/>
  <c r="K253" i="14"/>
  <c r="L253" i="14" s="1"/>
  <c r="O254" i="14" l="1"/>
  <c r="I254" i="14"/>
  <c r="M254" i="14"/>
  <c r="J254" i="14"/>
  <c r="N254" i="14"/>
  <c r="K254" i="14" l="1"/>
  <c r="L254" i="14" s="1"/>
  <c r="J255" i="14" s="1"/>
  <c r="Q254" i="14"/>
  <c r="N255" i="14" l="1"/>
  <c r="O255" i="14"/>
  <c r="M255" i="14"/>
  <c r="I255" i="14"/>
  <c r="K255" i="14" s="1"/>
  <c r="L255" i="14" s="1"/>
  <c r="Q255" i="14" l="1"/>
  <c r="M256" i="14"/>
  <c r="J256" i="14"/>
  <c r="O256" i="14"/>
  <c r="I256" i="14"/>
  <c r="N256" i="14"/>
  <c r="Q256" i="14" l="1"/>
  <c r="K256" i="14"/>
  <c r="L256" i="14" s="1"/>
  <c r="J257" i="14" l="1"/>
  <c r="O257" i="14"/>
  <c r="I257" i="14"/>
  <c r="M257" i="14"/>
  <c r="N257" i="14"/>
  <c r="Q257" i="14" l="1"/>
  <c r="K257" i="14"/>
  <c r="L257" i="14" s="1"/>
  <c r="O258" i="14" l="1"/>
  <c r="I258" i="14"/>
  <c r="M258" i="14"/>
  <c r="J258" i="14"/>
  <c r="N258" i="14"/>
  <c r="Q258" i="14" l="1"/>
  <c r="K258" i="14"/>
  <c r="L258" i="14" l="1"/>
  <c r="J259" i="14" l="1"/>
  <c r="W7" i="14" s="1"/>
  <c r="J13" i="11" s="1"/>
  <c r="O259" i="14"/>
  <c r="M259" i="14"/>
  <c r="I259" i="14"/>
  <c r="K259" i="14" s="1"/>
  <c r="L259" i="14" s="1"/>
  <c r="N259" i="14"/>
  <c r="W6" i="14" l="1"/>
  <c r="J12" i="11" s="1"/>
  <c r="N15" i="14"/>
  <c r="J14" i="11" s="1"/>
  <c r="Q259" i="14"/>
  <c r="Q9" i="14" s="1"/>
  <c r="W10" i="14" s="1"/>
  <c r="J17" i="11" s="1"/>
  <c r="O15" i="14"/>
  <c r="J15" i="11" s="1"/>
  <c r="W8" i="14"/>
  <c r="W9" i="14" l="1"/>
  <c r="J16" i="11" s="1"/>
  <c r="Q15" i="14"/>
</calcChain>
</file>

<file path=xl/comments1.xml><?xml version="1.0" encoding="utf-8"?>
<comments xmlns="http://schemas.openxmlformats.org/spreadsheetml/2006/main">
  <authors>
    <author>Cubillos Estrella Adriana Victoria</author>
  </authors>
  <commentList>
    <comment ref="AC4" authorId="0" shapeId="0">
      <text>
        <r>
          <rPr>
            <b/>
            <sz val="9"/>
            <color indexed="81"/>
            <rFont val="Tahoma"/>
            <family val="2"/>
          </rPr>
          <t>Tasa porciento mensual</t>
        </r>
      </text>
    </comment>
    <comment ref="AC17" authorId="0" shapeId="0">
      <text>
        <r>
          <rPr>
            <b/>
            <sz val="9"/>
            <color indexed="81"/>
            <rFont val="Tahoma"/>
            <family val="2"/>
          </rPr>
          <t>Tasa porciento mensual</t>
        </r>
      </text>
    </comment>
  </commentList>
</comments>
</file>

<file path=xl/sharedStrings.xml><?xml version="1.0" encoding="utf-8"?>
<sst xmlns="http://schemas.openxmlformats.org/spreadsheetml/2006/main" count="761" uniqueCount="322">
  <si>
    <t>Colpatria</t>
  </si>
  <si>
    <t>vida deudor</t>
  </si>
  <si>
    <t>Cuota</t>
  </si>
  <si>
    <t>interes</t>
  </si>
  <si>
    <t>capital</t>
  </si>
  <si>
    <t>Saldo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</si>
  <si>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</si>
  <si>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</si>
  <si>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</si>
  <si>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</si>
  <si>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</si>
  <si>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</si>
  <si>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</si>
  <si>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</si>
  <si>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</si>
  <si>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</si>
  <si>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</si>
  <si>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</si>
  <si>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</si>
  <si>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</si>
  <si>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</si>
  <si>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</si>
  <si>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</si>
  <si>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</si>
  <si>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</si>
  <si>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</si>
  <si>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</si>
  <si>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</si>
  <si>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</si>
  <si>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</si>
  <si>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Mes 25</t>
  </si>
  <si>
    <t>Mes 26</t>
  </si>
  <si>
    <t>Mes 27</t>
  </si>
  <si>
    <t>Mes 28</t>
  </si>
  <si>
    <t>Mes 29</t>
  </si>
  <si>
    <t>Mes 30</t>
  </si>
  <si>
    <t>Mes 31</t>
  </si>
  <si>
    <t>Mes 32</t>
  </si>
  <si>
    <t>Mes 33</t>
  </si>
  <si>
    <t>Mes 34</t>
  </si>
  <si>
    <t>Mes 35</t>
  </si>
  <si>
    <t>Mes 36</t>
  </si>
  <si>
    <t>Mes 37</t>
  </si>
  <si>
    <t>Mes 38</t>
  </si>
  <si>
    <t>Mes 39</t>
  </si>
  <si>
    <t>Mes 40</t>
  </si>
  <si>
    <t>Mes 41</t>
  </si>
  <si>
    <t>Mes 42</t>
  </si>
  <si>
    <t>Mes 43</t>
  </si>
  <si>
    <t>Mes 44</t>
  </si>
  <si>
    <t>Mes 45</t>
  </si>
  <si>
    <t>Mes 46</t>
  </si>
  <si>
    <t>Mes 47</t>
  </si>
  <si>
    <t>Mes 48</t>
  </si>
  <si>
    <t>Mes 49</t>
  </si>
  <si>
    <t>Mes 50</t>
  </si>
  <si>
    <t>Mes 51</t>
  </si>
  <si>
    <t>Mes 52</t>
  </si>
  <si>
    <t>Mes 53</t>
  </si>
  <si>
    <t>Mes 54</t>
  </si>
  <si>
    <t>Mes 55</t>
  </si>
  <si>
    <t>Mes 56</t>
  </si>
  <si>
    <t>Mes 57</t>
  </si>
  <si>
    <t>Mes 58</t>
  </si>
  <si>
    <t>Mes 59</t>
  </si>
  <si>
    <t>Mes 60</t>
  </si>
  <si>
    <t>Mes 61</t>
  </si>
  <si>
    <t>Mes 62</t>
  </si>
  <si>
    <t>Mes 63</t>
  </si>
  <si>
    <t>Mes 64</t>
  </si>
  <si>
    <t>Mes 65</t>
  </si>
  <si>
    <t>Mes 66</t>
  </si>
  <si>
    <t>Mes 67</t>
  </si>
  <si>
    <t>Mes 68</t>
  </si>
  <si>
    <t>Mes 69</t>
  </si>
  <si>
    <t>Mes 70</t>
  </si>
  <si>
    <t>Mes 71</t>
  </si>
  <si>
    <t>Mes 72</t>
  </si>
  <si>
    <t>Mes 73</t>
  </si>
  <si>
    <t>Mes 74</t>
  </si>
  <si>
    <t>Mes 75</t>
  </si>
  <si>
    <t>Mes 76</t>
  </si>
  <si>
    <t>Mes 77</t>
  </si>
  <si>
    <t>Mes 78</t>
  </si>
  <si>
    <t>Mes 79</t>
  </si>
  <si>
    <t>Mes 80</t>
  </si>
  <si>
    <t>Mes 81</t>
  </si>
  <si>
    <t>Mes 82</t>
  </si>
  <si>
    <t>Mes 83</t>
  </si>
  <si>
    <t>Mes 84</t>
  </si>
  <si>
    <t>Desembolso</t>
  </si>
  <si>
    <t>Plazo</t>
  </si>
  <si>
    <t>Tasa</t>
  </si>
  <si>
    <t>Tasa EA</t>
  </si>
  <si>
    <t>X Millón</t>
  </si>
  <si>
    <t>Seguro</t>
  </si>
  <si>
    <t>Flujo</t>
  </si>
  <si>
    <t>TIR</t>
  </si>
  <si>
    <t>VTU</t>
  </si>
  <si>
    <t>Seg + Interes</t>
  </si>
  <si>
    <t>Salario Minimo</t>
  </si>
  <si>
    <t>Cupo</t>
  </si>
  <si>
    <t>Usos</t>
  </si>
  <si>
    <t>Diferido</t>
  </si>
  <si>
    <t>Mes 0</t>
  </si>
  <si>
    <t>Capital</t>
  </si>
  <si>
    <t>USOS</t>
  </si>
  <si>
    <t>Cuota Manejo</t>
  </si>
  <si>
    <t>ABONO</t>
  </si>
  <si>
    <t>Intereses pagados por clientes (Corrientes + mora)+ seguros + otros / Saldo promedio capital de la deuda      y se debe convertir a efectivo anual</t>
  </si>
  <si>
    <t>Mes 85</t>
  </si>
  <si>
    <t>Mes 86</t>
  </si>
  <si>
    <t>Mes 87</t>
  </si>
  <si>
    <t>Mes 88</t>
  </si>
  <si>
    <t>Mes 89</t>
  </si>
  <si>
    <t>Mes 90</t>
  </si>
  <si>
    <t>Mes 91</t>
  </si>
  <si>
    <t>Mes 92</t>
  </si>
  <si>
    <t>Mes 93</t>
  </si>
  <si>
    <t>Mes 94</t>
  </si>
  <si>
    <t>Mes 95</t>
  </si>
  <si>
    <t>Mes 96</t>
  </si>
  <si>
    <t>Mes 97</t>
  </si>
  <si>
    <t>Mes 98</t>
  </si>
  <si>
    <t>Mes 99</t>
  </si>
  <si>
    <t>Mes 100</t>
  </si>
  <si>
    <t>Mes 101</t>
  </si>
  <si>
    <t>Mes 102</t>
  </si>
  <si>
    <t>Mes 103</t>
  </si>
  <si>
    <t>Mes 104</t>
  </si>
  <si>
    <t>Mes 105</t>
  </si>
  <si>
    <t>Mes 106</t>
  </si>
  <si>
    <t>Mes 107</t>
  </si>
  <si>
    <t>Mes 108</t>
  </si>
  <si>
    <t>Mes 109</t>
  </si>
  <si>
    <t>Mes 110</t>
  </si>
  <si>
    <t>Mes 111</t>
  </si>
  <si>
    <t>Mes 112</t>
  </si>
  <si>
    <t>Mes 113</t>
  </si>
  <si>
    <t>Mes 114</t>
  </si>
  <si>
    <t>Mes 115</t>
  </si>
  <si>
    <t>Mes 116</t>
  </si>
  <si>
    <t>Mes 117</t>
  </si>
  <si>
    <t>Mes 118</t>
  </si>
  <si>
    <t>Mes 119</t>
  </si>
  <si>
    <t>Mes 120</t>
  </si>
  <si>
    <t>Mes 121</t>
  </si>
  <si>
    <t>Mes 122</t>
  </si>
  <si>
    <t>Mes 123</t>
  </si>
  <si>
    <t>Mes 124</t>
  </si>
  <si>
    <t>Mes 125</t>
  </si>
  <si>
    <t>Mes 126</t>
  </si>
  <si>
    <t>Mes 127</t>
  </si>
  <si>
    <t>Mes 128</t>
  </si>
  <si>
    <t>Mes 129</t>
  </si>
  <si>
    <t>Mes 130</t>
  </si>
  <si>
    <t>Mes 131</t>
  </si>
  <si>
    <t>Mes 132</t>
  </si>
  <si>
    <t>Mes 133</t>
  </si>
  <si>
    <t>Mes 134</t>
  </si>
  <si>
    <t>Mes 135</t>
  </si>
  <si>
    <t>Mes 136</t>
  </si>
  <si>
    <t>Mes 137</t>
  </si>
  <si>
    <t>Mes 138</t>
  </si>
  <si>
    <t>Mes 139</t>
  </si>
  <si>
    <t>Mes 140</t>
  </si>
  <si>
    <t>Mes 141</t>
  </si>
  <si>
    <t>Mes 142</t>
  </si>
  <si>
    <t>Mes 143</t>
  </si>
  <si>
    <t>Mes 144</t>
  </si>
  <si>
    <t>Mes 145</t>
  </si>
  <si>
    <t>Mes 146</t>
  </si>
  <si>
    <t>Mes 147</t>
  </si>
  <si>
    <t>Mes 148</t>
  </si>
  <si>
    <t>Mes 149</t>
  </si>
  <si>
    <t>Mes 150</t>
  </si>
  <si>
    <t>Mes 151</t>
  </si>
  <si>
    <t>Mes 152</t>
  </si>
  <si>
    <t>Mes 153</t>
  </si>
  <si>
    <t>Mes 154</t>
  </si>
  <si>
    <t>Mes 155</t>
  </si>
  <si>
    <t>Mes 156</t>
  </si>
  <si>
    <t>Mes 157</t>
  </si>
  <si>
    <t>Mes 158</t>
  </si>
  <si>
    <t>Mes 159</t>
  </si>
  <si>
    <t>Mes 160</t>
  </si>
  <si>
    <t>Mes 161</t>
  </si>
  <si>
    <t>Mes 162</t>
  </si>
  <si>
    <t>Mes 163</t>
  </si>
  <si>
    <t>Mes 164</t>
  </si>
  <si>
    <t>Mes 165</t>
  </si>
  <si>
    <t>Mes 166</t>
  </si>
  <si>
    <t>Mes 167</t>
  </si>
  <si>
    <t>Mes 168</t>
  </si>
  <si>
    <t>Mes 169</t>
  </si>
  <si>
    <t>Mes 170</t>
  </si>
  <si>
    <t>Mes 171</t>
  </si>
  <si>
    <t>Mes 172</t>
  </si>
  <si>
    <t>Mes 173</t>
  </si>
  <si>
    <t>Mes 174</t>
  </si>
  <si>
    <t>Mes 175</t>
  </si>
  <si>
    <t>Mes 176</t>
  </si>
  <si>
    <t>Mes 177</t>
  </si>
  <si>
    <t>Mes 178</t>
  </si>
  <si>
    <t>Mes 179</t>
  </si>
  <si>
    <t>Mes 180</t>
  </si>
  <si>
    <t>Seguro vida</t>
  </si>
  <si>
    <t>Edad</t>
  </si>
  <si>
    <t>Tarifa Incendio y terremoto</t>
  </si>
  <si>
    <t>INCENDIO Y TERREMOTO</t>
  </si>
  <si>
    <t xml:space="preserve">Tarifa por millon Mes </t>
  </si>
  <si>
    <t>Con IVA</t>
  </si>
  <si>
    <t>Sin IVA</t>
  </si>
  <si>
    <t>Seguro de vida</t>
  </si>
  <si>
    <t>Fecha Nacimiento</t>
  </si>
  <si>
    <t>Formula edad</t>
  </si>
  <si>
    <t>Mes 181</t>
  </si>
  <si>
    <t>Mes 182</t>
  </si>
  <si>
    <t>Mes 183</t>
  </si>
  <si>
    <t>Mes 184</t>
  </si>
  <si>
    <t>Mes 185</t>
  </si>
  <si>
    <t>Mes 186</t>
  </si>
  <si>
    <t>Mes 187</t>
  </si>
  <si>
    <t>Mes 188</t>
  </si>
  <si>
    <t>Mes 189</t>
  </si>
  <si>
    <t>Mes 190</t>
  </si>
  <si>
    <t>Mes 191</t>
  </si>
  <si>
    <t>Mes 192</t>
  </si>
  <si>
    <t>Mes 193</t>
  </si>
  <si>
    <t>Mes 194</t>
  </si>
  <si>
    <t>Mes 195</t>
  </si>
  <si>
    <t>Mes 196</t>
  </si>
  <si>
    <t>Mes 197</t>
  </si>
  <si>
    <t>Mes 198</t>
  </si>
  <si>
    <t>Mes 199</t>
  </si>
  <si>
    <t>Mes 200</t>
  </si>
  <si>
    <t>Mes 201</t>
  </si>
  <si>
    <t>Mes 202</t>
  </si>
  <si>
    <t>Mes 203</t>
  </si>
  <si>
    <t>Mes 204</t>
  </si>
  <si>
    <t>Mes 205</t>
  </si>
  <si>
    <t>Mes 206</t>
  </si>
  <si>
    <t>Mes 207</t>
  </si>
  <si>
    <t>Mes 208</t>
  </si>
  <si>
    <t>Mes 209</t>
  </si>
  <si>
    <t>Mes 210</t>
  </si>
  <si>
    <t>Mes 211</t>
  </si>
  <si>
    <t>Mes 212</t>
  </si>
  <si>
    <t>Mes 213</t>
  </si>
  <si>
    <t>Mes 214</t>
  </si>
  <si>
    <t>Mes 215</t>
  </si>
  <si>
    <t>Mes 216</t>
  </si>
  <si>
    <t>Mes 217</t>
  </si>
  <si>
    <t>Mes 218</t>
  </si>
  <si>
    <t>Mes 219</t>
  </si>
  <si>
    <t>Mes 220</t>
  </si>
  <si>
    <t>Mes 221</t>
  </si>
  <si>
    <t>Mes 222</t>
  </si>
  <si>
    <t>Mes 223</t>
  </si>
  <si>
    <t>Mes 224</t>
  </si>
  <si>
    <t>Mes 225</t>
  </si>
  <si>
    <t>Mes 226</t>
  </si>
  <si>
    <t>Mes 227</t>
  </si>
  <si>
    <t>Mes 228</t>
  </si>
  <si>
    <t>Mes 229</t>
  </si>
  <si>
    <t>Mes 230</t>
  </si>
  <si>
    <t>Mes 231</t>
  </si>
  <si>
    <t>Mes 232</t>
  </si>
  <si>
    <t>Mes 233</t>
  </si>
  <si>
    <t>Mes 234</t>
  </si>
  <si>
    <t>Mes 235</t>
  </si>
  <si>
    <t>Mes 236</t>
  </si>
  <si>
    <t>Mes 237</t>
  </si>
  <si>
    <t>Mes 238</t>
  </si>
  <si>
    <t>Mes 239</t>
  </si>
  <si>
    <t>Mes 240</t>
  </si>
  <si>
    <t>Valor del Inmueble</t>
  </si>
  <si>
    <t>Tasa M.V</t>
  </si>
  <si>
    <t>Tasa E.A</t>
  </si>
  <si>
    <t>Fecha cálculo</t>
  </si>
  <si>
    <t>Interes</t>
  </si>
  <si>
    <t>Seguros</t>
  </si>
  <si>
    <t>VTU TOTAL EN PESOS</t>
  </si>
  <si>
    <t>Intereses</t>
  </si>
  <si>
    <t>Seguro Incendio y terremoto</t>
  </si>
  <si>
    <t>Cuota sin seguros</t>
  </si>
  <si>
    <t>RESULTADO VTU</t>
  </si>
  <si>
    <t>DATOS DE CALCULO</t>
  </si>
  <si>
    <t>DATOS DE SOLICITUD</t>
  </si>
  <si>
    <t>Fecha Nacimiento (DD/MM/AAAA)</t>
  </si>
  <si>
    <t>Plazo en meses</t>
  </si>
  <si>
    <t>Años</t>
  </si>
  <si>
    <t>Seguro Incendio y Terremoto</t>
  </si>
  <si>
    <t>SI</t>
  </si>
  <si>
    <t>Seguro de vida incluido</t>
  </si>
  <si>
    <t>Digite el valor del préstamo</t>
  </si>
  <si>
    <t>Ingrese el valor del Inmueble</t>
  </si>
  <si>
    <t>Valor Cuota sin seguros</t>
  </si>
  <si>
    <t>Opcion de compra</t>
  </si>
  <si>
    <t>Compra</t>
  </si>
  <si>
    <t xml:space="preserve">CALCULO VALOR TOTAL UNIFICADO (VTU) LEASING PERSONAS EN PESOS </t>
  </si>
  <si>
    <t>N°</t>
  </si>
  <si>
    <t>Simulador Leasing Personas</t>
  </si>
  <si>
    <t xml:space="preserve">Interés </t>
  </si>
  <si>
    <t>Valor Primer Cuota Con seguros</t>
  </si>
  <si>
    <t>VTU EN PORCENTAJE  (E.A)</t>
  </si>
  <si>
    <t>Incendio y terremoto</t>
  </si>
  <si>
    <t>Seleccione el destino del Inmueble</t>
  </si>
  <si>
    <t>Linea</t>
  </si>
  <si>
    <t>Leasing Habitacional Familiar</t>
  </si>
  <si>
    <t>Leasing Inmobiliario</t>
  </si>
  <si>
    <t>Leasing Habitacional No Familiar</t>
  </si>
  <si>
    <r>
      <t>Monto máximo del préstamo</t>
    </r>
    <r>
      <rPr>
        <vertAlign val="superscript"/>
        <sz val="11"/>
        <color rgb="FF000000"/>
        <rFont val="Calibri"/>
        <family val="2"/>
        <scheme val="minor"/>
      </rPr>
      <t>1</t>
    </r>
  </si>
  <si>
    <r>
      <t>Seleccione el plazo en años</t>
    </r>
    <r>
      <rPr>
        <vertAlign val="superscript"/>
        <sz val="11"/>
        <color rgb="FF000000"/>
        <rFont val="Calibri"/>
        <family val="2"/>
        <scheme val="minor"/>
      </rPr>
      <t>2</t>
    </r>
  </si>
  <si>
    <t>Conoce nuestras líneas de Crédito Hipotecario y Leasing personas en: https://www.scotiabankcolpatria.com/personas/hipotecario</t>
  </si>
  <si>
    <r>
      <rPr>
        <b/>
        <i/>
        <vertAlign val="superscript"/>
        <sz val="8"/>
        <color theme="1"/>
        <rFont val="Calibri"/>
        <family val="2"/>
        <scheme val="minor"/>
      </rPr>
      <t>1</t>
    </r>
    <r>
      <rPr>
        <i/>
        <sz val="8"/>
        <color theme="1"/>
        <rFont val="Calibri"/>
        <family val="2"/>
        <scheme val="minor"/>
      </rPr>
      <t xml:space="preserve">  El porcentaje máximo de financiación para Leasing Habitacional Familiar es hasta 80%, Leasing Habitacional No Familiar hasta 70% y Leasing Inmobiliario hasta 70%. </t>
    </r>
  </si>
  <si>
    <r>
      <rPr>
        <b/>
        <i/>
        <vertAlign val="superscript"/>
        <sz val="8"/>
        <color theme="1"/>
        <rFont val="Calibri"/>
        <family val="2"/>
        <scheme val="minor"/>
      </rPr>
      <t>2</t>
    </r>
    <r>
      <rPr>
        <i/>
        <sz val="8"/>
        <color theme="1"/>
        <rFont val="Calibri"/>
        <family val="2"/>
        <scheme val="minor"/>
      </rPr>
      <t xml:space="preserve"> El plazo máximo para Leasing Habitacional Familiar es hasta 20 años, Leasing Habitacional No Familiar hasta 20 años y Leasing Inmobiliario hasta 10 años. </t>
    </r>
  </si>
  <si>
    <r>
      <t>4</t>
    </r>
    <r>
      <rPr>
        <i/>
        <sz val="8"/>
        <color theme="1"/>
        <rFont val="Calibri"/>
        <family val="2"/>
        <scheme val="minor"/>
      </rPr>
      <t xml:space="preserve"> Consulta las tasas de interés en https://www.scotiabankcolpatria.com/tasas-y-tarifas</t>
    </r>
  </si>
  <si>
    <r>
      <t>Opción de Compra</t>
    </r>
    <r>
      <rPr>
        <vertAlign val="superscript"/>
        <sz val="11"/>
        <color theme="1"/>
        <rFont val="Calibri"/>
        <family val="2"/>
        <scheme val="minor"/>
      </rPr>
      <t>3</t>
    </r>
  </si>
  <si>
    <r>
      <t>Digite la Tasa de interés E.A</t>
    </r>
    <r>
      <rPr>
        <vertAlign val="superscript"/>
        <sz val="11"/>
        <color theme="1"/>
        <rFont val="Calibri"/>
        <family val="2"/>
        <scheme val="minor"/>
      </rPr>
      <t>4</t>
    </r>
  </si>
  <si>
    <r>
      <rPr>
        <b/>
        <i/>
        <vertAlign val="superscript"/>
        <sz val="8"/>
        <color theme="1"/>
        <rFont val="Calibri"/>
        <family val="2"/>
        <scheme val="minor"/>
      </rPr>
      <t>3</t>
    </r>
    <r>
      <rPr>
        <i/>
        <sz val="8"/>
        <color theme="1"/>
        <rFont val="Calibri"/>
        <family val="2"/>
        <scheme val="minor"/>
      </rPr>
      <t xml:space="preserve"> Porcentaje opción de compra entre el 1% y el 25%. </t>
    </r>
  </si>
  <si>
    <r>
      <rPr>
        <b/>
        <u/>
        <sz val="9"/>
        <color theme="1"/>
        <rFont val="Calibri"/>
        <family val="2"/>
        <scheme val="minor"/>
      </rPr>
      <t xml:space="preserve">VALOR TOTAL UNIFICADO 
* QUÉ ES EL VTU? </t>
    </r>
    <r>
      <rPr>
        <sz val="9"/>
        <color theme="1"/>
        <rFont val="Calibri"/>
        <family val="2"/>
        <scheme val="minor"/>
      </rPr>
      <t>Significa “Valor Total Unificado” y es la medida que le permite al consumidor financiero potencial comparar las ofertas de las diferentes entidades financieras de forma homogénea. Consulta mayor información en https://www.scotiabankcolpatria.com/personas/servicios/otros-servicios/valor-total-unificado</t>
    </r>
    <r>
      <rPr>
        <b/>
        <sz val="9"/>
        <color theme="1"/>
        <rFont val="Calibri"/>
        <family val="2"/>
        <scheme val="minor"/>
      </rPr>
      <t xml:space="preserve">
* ¿PARA QUÉ SIRVE? </t>
    </r>
    <r>
      <rPr>
        <sz val="9"/>
        <color theme="1"/>
        <rFont val="Calibri"/>
        <family val="2"/>
        <scheme val="minor"/>
      </rPr>
      <t>Para que las entidades financieras brinden a los consumidores información previa a la celebración del contrato, respecto a las características de sus productos o servicios, sus derechos y obligaciones, condiciones, tarifas o precios y la forma para determinarlos, así como de forma posterior a la celebración del contrato los montos efectivamente pagados por éstos.
* La proyección obtenida corresponde a una simulación de los cobros inherentes  o asociados directamente a la operación y no necesariamente a los montos que efectivamente pagará el cliente.
* El otorgamiento del crédito está sujeto a políticas de crédito de Banco Scotiabank Colpatria. 
* El VTU Leasing Personas Scotiabank Colpatria incluye los intereses, el seguro de vida y el seguro de incendio y terremoto
*Podrán existir otros costos que deberá asumir el cliente y los cuales no hacen parte del cálculo del VTU tales como gastos de escrituración, registro o impuestos asociados, avalúo, estudio de títulos, pago de certificados de tradición y libertad, pago de escrituras, etc.
*El plazo y la tasa de interés serán los que efectivamente el Banco apruebe conforme a sus políticas. 
* Los valores finales correspondientes a seguros de vida y todo riesgo  incendio y terremoto se calculan conforme a las condiciones de la póliza colectiva vigente tomada por Banco Scotiabank Colpatria por cuenta de sus deudores. El valor de la prima podrá variar acorde al estado del riesgo asegurado y demás variables tales como edad del asegurado y valor asegurable del inmueble.
* El VTU no se calcula para los eventos en los que el cliente presente una póliza de vida o todo riesgo  incendio y terremoto expedida por otra compañía de seguros, y que haya sido debidamente endosada a favor de Banco Scotiabank Colpatria. 
* Consulta tasas y tarifas en https://www.scotiabankcolpatria.com/tasas-y-tarifas
* El presente simulador se realiza con el fin de informar el Valor Total Unificado (VTU), pero no conlleva una obligación de otorgar el crédito por parte del Banco.
* El cálculo del valor de la cuota con o sin seguros, se realiza teniendo en cuenta el porcentaje de opción de compra.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</si>
</sst>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&quot;$&quot;\ #,##0.00_);[Red]\(&quot;$&quot;\ #,##0.00\)"/>
    <numFmt numFmtId="167" formatCode="0.0%"/>
    <numFmt numFmtId="168" formatCode="&quot;$&quot;\ #,##0_);[Red]\(&quot;$&quot;\ #,##0\)"/>
    <numFmt numFmtId="169" formatCode="0.000%"/>
    <numFmt numFmtId="170" formatCode="_-* #,##0_-;\-* #,##0_-;_-* &quot;-&quot;??_-;_-@_-"/>
    <numFmt numFmtId="171" formatCode="_-[$$-240A]* #,##0.00_-;\-[$$-240A]* #,##0.00_-;_-[$$-240A]* &quot;-&quot;??_-;_-@_-"/>
    <numFmt numFmtId="172" formatCode="0.000"/>
    <numFmt numFmtId="173" formatCode="0.0000"/>
    <numFmt numFmtId="174" formatCode="_-&quot;$&quot;* #,##0_-;\-&quot;$&quot;* #,##0_-;_-&quot;$&quot;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0"/>
      <color rgb="FFC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i/>
      <vertAlign val="superscript"/>
      <sz val="8"/>
      <color theme="1"/>
      <name val="Calibri"/>
      <family val="2"/>
      <scheme val="minor"/>
    </font>
    <font>
      <b/>
      <i/>
      <vertAlign val="superscript"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7E5E6"/>
        <bgColor indexed="64"/>
      </patternFill>
    </fill>
    <fill>
      <patternFill patternType="solid">
        <fgColor rgb="FFEDD5D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2">
    <xf numFmtId="0" fontId="0" fillId="0" borderId="0" xfId="0"/>
    <xf numFmtId="0" fontId="3" fillId="0" borderId="0" xfId="0" applyFont="1"/>
    <xf numFmtId="10" fontId="0" fillId="0" borderId="0" xfId="2" applyNumberFormat="1" applyFont="1"/>
    <xf numFmtId="165" fontId="0" fillId="0" borderId="0" xfId="1" applyNumberFormat="1" applyFont="1"/>
    <xf numFmtId="10" fontId="0" fillId="0" borderId="0" xfId="0" applyNumberFormat="1"/>
    <xf numFmtId="165" fontId="0" fillId="0" borderId="0" xfId="0" applyNumberFormat="1"/>
    <xf numFmtId="17" fontId="0" fillId="0" borderId="0" xfId="0" applyNumberFormat="1"/>
    <xf numFmtId="166" fontId="0" fillId="0" borderId="0" xfId="0" applyNumberFormat="1"/>
    <xf numFmtId="164" fontId="0" fillId="0" borderId="0" xfId="1" applyFont="1"/>
    <xf numFmtId="164" fontId="4" fillId="2" borderId="0" xfId="1" applyFont="1" applyFill="1"/>
    <xf numFmtId="165" fontId="0" fillId="3" borderId="0" xfId="1" applyNumberFormat="1" applyFont="1" applyFill="1"/>
    <xf numFmtId="10" fontId="3" fillId="0" borderId="0" xfId="0" applyNumberFormat="1" applyFont="1"/>
    <xf numFmtId="0" fontId="2" fillId="2" borderId="0" xfId="0" applyFont="1" applyFill="1"/>
    <xf numFmtId="10" fontId="2" fillId="2" borderId="0" xfId="2" applyNumberFormat="1" applyFont="1" applyFill="1"/>
    <xf numFmtId="0" fontId="0" fillId="4" borderId="0" xfId="0" applyFill="1"/>
    <xf numFmtId="0" fontId="3" fillId="4" borderId="0" xfId="0" applyFont="1" applyFill="1"/>
    <xf numFmtId="0" fontId="2" fillId="4" borderId="0" xfId="0" applyFont="1" applyFill="1"/>
    <xf numFmtId="164" fontId="4" fillId="4" borderId="0" xfId="1" applyFont="1" applyFill="1"/>
    <xf numFmtId="165" fontId="0" fillId="4" borderId="0" xfId="1" applyNumberFormat="1" applyFont="1" applyFill="1"/>
    <xf numFmtId="2" fontId="0" fillId="0" borderId="0" xfId="0" applyNumberFormat="1"/>
    <xf numFmtId="165" fontId="0" fillId="4" borderId="0" xfId="0" applyNumberFormat="1" applyFill="1"/>
    <xf numFmtId="17" fontId="4" fillId="2" borderId="0" xfId="0" applyNumberFormat="1" applyFont="1" applyFill="1"/>
    <xf numFmtId="0" fontId="4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43" fontId="0" fillId="0" borderId="0" xfId="0" applyNumberFormat="1"/>
    <xf numFmtId="164" fontId="0" fillId="0" borderId="0" xfId="0" applyNumberFormat="1"/>
    <xf numFmtId="17" fontId="2" fillId="2" borderId="0" xfId="0" applyNumberFormat="1" applyFont="1" applyFill="1"/>
    <xf numFmtId="165" fontId="2" fillId="2" borderId="0" xfId="1" applyNumberFormat="1" applyFont="1" applyFill="1"/>
    <xf numFmtId="0" fontId="4" fillId="2" borderId="0" xfId="0" applyFont="1" applyFill="1" applyAlignment="1">
      <alignment horizontal="center"/>
    </xf>
    <xf numFmtId="165" fontId="3" fillId="0" borderId="0" xfId="0" applyNumberFormat="1" applyFont="1"/>
    <xf numFmtId="167" fontId="0" fillId="0" borderId="0" xfId="2" applyNumberFormat="1" applyFont="1"/>
    <xf numFmtId="168" fontId="0" fillId="0" borderId="0" xfId="0" applyNumberFormat="1"/>
    <xf numFmtId="0" fontId="0" fillId="4" borderId="4" xfId="0" applyFill="1" applyBorder="1"/>
    <xf numFmtId="0" fontId="0" fillId="4" borderId="6" xfId="0" applyFill="1" applyBorder="1"/>
    <xf numFmtId="0" fontId="9" fillId="0" borderId="0" xfId="0" applyFont="1"/>
    <xf numFmtId="0" fontId="9" fillId="0" borderId="0" xfId="0" applyFont="1" applyAlignment="1">
      <alignment wrapText="1"/>
    </xf>
    <xf numFmtId="9" fontId="0" fillId="0" borderId="0" xfId="2" applyFont="1"/>
    <xf numFmtId="9" fontId="9" fillId="0" borderId="0" xfId="2" applyFont="1" applyAlignment="1">
      <alignment wrapText="1"/>
    </xf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12" fillId="4" borderId="0" xfId="0" applyFont="1" applyFill="1" applyAlignment="1">
      <alignment horizontal="center"/>
    </xf>
    <xf numFmtId="0" fontId="12" fillId="0" borderId="0" xfId="0" applyFont="1"/>
    <xf numFmtId="10" fontId="12" fillId="0" borderId="0" xfId="0" applyNumberFormat="1" applyFont="1"/>
    <xf numFmtId="0" fontId="12" fillId="0" borderId="0" xfId="0" applyFont="1" applyFill="1" applyBorder="1"/>
    <xf numFmtId="0" fontId="11" fillId="0" borderId="0" xfId="0" applyFont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0" borderId="0" xfId="0" applyNumberFormat="1" applyFont="1"/>
    <xf numFmtId="0" fontId="12" fillId="0" borderId="0" xfId="0" applyFont="1" applyFill="1" applyBorder="1" applyAlignment="1">
      <alignment horizontal="center"/>
    </xf>
    <xf numFmtId="169" fontId="12" fillId="0" borderId="0" xfId="2" applyNumberFormat="1" applyFont="1" applyFill="1" applyBorder="1"/>
    <xf numFmtId="8" fontId="14" fillId="2" borderId="0" xfId="0" applyNumberFormat="1" applyFont="1" applyFill="1"/>
    <xf numFmtId="169" fontId="12" fillId="0" borderId="0" xfId="2" applyNumberFormat="1" applyFont="1" applyFill="1" applyBorder="1" applyAlignment="1">
      <alignment horizontal="center"/>
    </xf>
    <xf numFmtId="165" fontId="12" fillId="0" borderId="1" xfId="0" applyNumberFormat="1" applyFont="1" applyBorder="1" applyAlignment="1">
      <alignment horizontal="center"/>
    </xf>
    <xf numFmtId="0" fontId="14" fillId="2" borderId="0" xfId="0" applyFont="1" applyFill="1"/>
    <xf numFmtId="0" fontId="15" fillId="0" borderId="0" xfId="0" applyFont="1" applyFill="1" applyBorder="1"/>
    <xf numFmtId="10" fontId="15" fillId="0" borderId="0" xfId="2" applyNumberFormat="1" applyFont="1"/>
    <xf numFmtId="0" fontId="15" fillId="0" borderId="0" xfId="0" applyFont="1"/>
    <xf numFmtId="0" fontId="11" fillId="0" borderId="0" xfId="0" applyFont="1"/>
    <xf numFmtId="165" fontId="15" fillId="0" borderId="0" xfId="0" applyNumberFormat="1" applyFont="1" applyFill="1" applyAlignment="1">
      <alignment horizontal="center"/>
    </xf>
    <xf numFmtId="165" fontId="12" fillId="0" borderId="1" xfId="1" applyNumberFormat="1" applyFont="1" applyBorder="1" applyAlignment="1">
      <alignment horizontal="center"/>
    </xf>
    <xf numFmtId="14" fontId="12" fillId="0" borderId="0" xfId="0" applyNumberFormat="1" applyFont="1" applyAlignment="1">
      <alignment horizontal="center"/>
    </xf>
    <xf numFmtId="0" fontId="12" fillId="0" borderId="0" xfId="0" applyFont="1" applyAlignment="1">
      <alignment wrapText="1"/>
    </xf>
    <xf numFmtId="0" fontId="13" fillId="0" borderId="1" xfId="0" applyFont="1" applyBorder="1" applyAlignment="1">
      <alignment horizontal="center" wrapText="1"/>
    </xf>
    <xf numFmtId="173" fontId="13" fillId="0" borderId="1" xfId="0" applyNumberFormat="1" applyFont="1" applyBorder="1" applyAlignment="1">
      <alignment horizontal="center" wrapText="1"/>
    </xf>
    <xf numFmtId="169" fontId="12" fillId="0" borderId="1" xfId="2" applyNumberFormat="1" applyFont="1" applyBorder="1" applyAlignment="1">
      <alignment wrapText="1"/>
    </xf>
    <xf numFmtId="10" fontId="12" fillId="0" borderId="0" xfId="0" applyNumberFormat="1" applyFont="1" applyAlignment="1">
      <alignment wrapText="1"/>
    </xf>
    <xf numFmtId="17" fontId="12" fillId="0" borderId="0" xfId="0" applyNumberFormat="1" applyFont="1"/>
    <xf numFmtId="165" fontId="12" fillId="0" borderId="0" xfId="1" applyNumberFormat="1" applyFont="1"/>
    <xf numFmtId="0" fontId="12" fillId="0" borderId="16" xfId="0" applyFont="1" applyBorder="1" applyAlignment="1">
      <alignment horizontal="center"/>
    </xf>
    <xf numFmtId="169" fontId="12" fillId="0" borderId="0" xfId="2" applyNumberFormat="1" applyFont="1"/>
    <xf numFmtId="14" fontId="12" fillId="0" borderId="0" xfId="0" applyNumberFormat="1" applyFont="1"/>
    <xf numFmtId="1" fontId="12" fillId="0" borderId="0" xfId="0" applyNumberFormat="1" applyFont="1"/>
    <xf numFmtId="164" fontId="12" fillId="0" borderId="0" xfId="1" applyFont="1"/>
    <xf numFmtId="166" fontId="12" fillId="0" borderId="0" xfId="0" applyNumberFormat="1" applyFont="1"/>
    <xf numFmtId="0" fontId="12" fillId="0" borderId="1" xfId="0" applyFont="1" applyBorder="1" applyAlignment="1">
      <alignment horizontal="center"/>
    </xf>
    <xf numFmtId="173" fontId="12" fillId="5" borderId="1" xfId="2" applyNumberFormat="1" applyFont="1" applyFill="1" applyBorder="1" applyAlignment="1">
      <alignment horizontal="center"/>
    </xf>
    <xf numFmtId="173" fontId="12" fillId="6" borderId="1" xfId="2" applyNumberFormat="1" applyFont="1" applyFill="1" applyBorder="1" applyAlignment="1">
      <alignment horizontal="center"/>
    </xf>
    <xf numFmtId="10" fontId="12" fillId="0" borderId="0" xfId="2" applyNumberFormat="1" applyFont="1"/>
    <xf numFmtId="10" fontId="14" fillId="2" borderId="0" xfId="2" applyNumberFormat="1" applyFont="1" applyFill="1"/>
    <xf numFmtId="173" fontId="12" fillId="7" borderId="1" xfId="2" applyNumberFormat="1" applyFont="1" applyFill="1" applyBorder="1" applyAlignment="1">
      <alignment horizontal="center"/>
    </xf>
    <xf numFmtId="173" fontId="12" fillId="8" borderId="1" xfId="2" applyNumberFormat="1" applyFont="1" applyFill="1" applyBorder="1" applyAlignment="1">
      <alignment horizontal="center"/>
    </xf>
    <xf numFmtId="174" fontId="11" fillId="0" borderId="1" xfId="3" applyNumberFormat="1" applyFont="1" applyBorder="1" applyAlignment="1">
      <alignment horizontal="right"/>
    </xf>
    <xf numFmtId="9" fontId="12" fillId="0" borderId="1" xfId="2" applyFont="1" applyBorder="1" applyAlignment="1">
      <alignment horizontal="right"/>
    </xf>
    <xf numFmtId="165" fontId="12" fillId="0" borderId="1" xfId="0" applyNumberFormat="1" applyFont="1" applyBorder="1" applyAlignment="1">
      <alignment horizontal="right"/>
    </xf>
    <xf numFmtId="10" fontId="12" fillId="0" borderId="1" xfId="2" applyNumberFormat="1" applyFont="1" applyBorder="1" applyAlignment="1">
      <alignment horizontal="right"/>
    </xf>
    <xf numFmtId="10" fontId="12" fillId="0" borderId="1" xfId="0" applyNumberFormat="1" applyFont="1" applyBorder="1" applyAlignment="1">
      <alignment horizontal="right"/>
    </xf>
    <xf numFmtId="165" fontId="15" fillId="0" borderId="0" xfId="0" applyNumberFormat="1" applyFont="1" applyFill="1" applyAlignment="1">
      <alignment horizontal="right"/>
    </xf>
    <xf numFmtId="164" fontId="15" fillId="0" borderId="0" xfId="1" applyFont="1" applyFill="1" applyAlignment="1">
      <alignment horizontal="right"/>
    </xf>
    <xf numFmtId="14" fontId="12" fillId="0" borderId="1" xfId="1" applyNumberFormat="1" applyFont="1" applyBorder="1" applyAlignment="1">
      <alignment horizontal="right"/>
    </xf>
    <xf numFmtId="14" fontId="11" fillId="0" borderId="0" xfId="1" applyNumberFormat="1" applyFont="1" applyAlignment="1">
      <alignment horizontal="right"/>
    </xf>
    <xf numFmtId="14" fontId="12" fillId="0" borderId="1" xfId="0" applyNumberFormat="1" applyFont="1" applyBorder="1" applyAlignment="1">
      <alignment horizontal="right"/>
    </xf>
    <xf numFmtId="174" fontId="12" fillId="0" borderId="1" xfId="3" applyNumberFormat="1" applyFont="1" applyBorder="1" applyAlignment="1">
      <alignment horizontal="right"/>
    </xf>
    <xf numFmtId="165" fontId="15" fillId="0" borderId="0" xfId="1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5" fillId="4" borderId="0" xfId="0" applyFont="1" applyFill="1" applyAlignment="1">
      <alignment horizontal="center"/>
    </xf>
    <xf numFmtId="165" fontId="15" fillId="0" borderId="0" xfId="0" applyNumberFormat="1" applyFont="1"/>
    <xf numFmtId="0" fontId="15" fillId="0" borderId="0" xfId="0" applyFont="1" applyFill="1" applyBorder="1" applyAlignment="1">
      <alignment horizontal="center"/>
    </xf>
    <xf numFmtId="172" fontId="15" fillId="0" borderId="0" xfId="0" applyNumberFormat="1" applyFont="1" applyFill="1" applyBorder="1" applyAlignment="1">
      <alignment horizontal="center"/>
    </xf>
    <xf numFmtId="169" fontId="15" fillId="0" borderId="0" xfId="2" applyNumberFormat="1" applyFont="1" applyFill="1" applyBorder="1"/>
    <xf numFmtId="10" fontId="15" fillId="0" borderId="0" xfId="0" applyNumberFormat="1" applyFont="1"/>
    <xf numFmtId="171" fontId="15" fillId="0" borderId="0" xfId="0" applyNumberFormat="1" applyFont="1"/>
    <xf numFmtId="0" fontId="15" fillId="4" borderId="0" xfId="0" applyFont="1" applyFill="1"/>
    <xf numFmtId="169" fontId="15" fillId="0" borderId="0" xfId="2" applyNumberFormat="1" applyFont="1" applyFill="1" applyBorder="1" applyAlignment="1">
      <alignment horizontal="center"/>
    </xf>
    <xf numFmtId="2" fontId="15" fillId="0" borderId="0" xfId="0" applyNumberFormat="1" applyFont="1" applyAlignment="1">
      <alignment horizontal="center"/>
    </xf>
    <xf numFmtId="10" fontId="15" fillId="0" borderId="0" xfId="2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4" borderId="0" xfId="0" applyFont="1" applyFill="1" applyAlignment="1">
      <alignment horizontal="center"/>
    </xf>
    <xf numFmtId="10" fontId="14" fillId="0" borderId="0" xfId="0" applyNumberFormat="1" applyFont="1" applyAlignment="1">
      <alignment horizontal="center"/>
    </xf>
    <xf numFmtId="9" fontId="15" fillId="0" borderId="0" xfId="2" applyFont="1" applyAlignment="1">
      <alignment horizontal="center"/>
    </xf>
    <xf numFmtId="169" fontId="15" fillId="0" borderId="0" xfId="2" applyNumberFormat="1" applyFont="1"/>
    <xf numFmtId="8" fontId="15" fillId="0" borderId="0" xfId="0" applyNumberFormat="1" applyFont="1" applyAlignment="1">
      <alignment horizontal="center"/>
    </xf>
    <xf numFmtId="14" fontId="15" fillId="0" borderId="0" xfId="1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/>
    <xf numFmtId="164" fontId="14" fillId="2" borderId="1" xfId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64" fontId="14" fillId="4" borderId="1" xfId="1" applyFont="1" applyFill="1" applyBorder="1" applyAlignment="1">
      <alignment horizontal="center" vertical="center" wrapText="1"/>
    </xf>
    <xf numFmtId="17" fontId="12" fillId="0" borderId="1" xfId="0" applyNumberFormat="1" applyFont="1" applyBorder="1"/>
    <xf numFmtId="0" fontId="12" fillId="4" borderId="1" xfId="0" applyFont="1" applyFill="1" applyBorder="1" applyAlignment="1">
      <alignment horizontal="center"/>
    </xf>
    <xf numFmtId="164" fontId="12" fillId="0" borderId="1" xfId="1" applyFont="1" applyBorder="1"/>
    <xf numFmtId="166" fontId="15" fillId="0" borderId="1" xfId="0" applyNumberFormat="1" applyFont="1" applyBorder="1" applyAlignment="1">
      <alignment horizontal="center"/>
    </xf>
    <xf numFmtId="165" fontId="12" fillId="4" borderId="1" xfId="1" applyNumberFormat="1" applyFont="1" applyFill="1" applyBorder="1" applyAlignment="1">
      <alignment horizontal="center"/>
    </xf>
    <xf numFmtId="165" fontId="12" fillId="0" borderId="1" xfId="0" applyNumberFormat="1" applyFont="1" applyBorder="1"/>
    <xf numFmtId="168" fontId="12" fillId="0" borderId="1" xfId="0" applyNumberFormat="1" applyFont="1" applyBorder="1" applyAlignment="1">
      <alignment horizontal="center"/>
    </xf>
    <xf numFmtId="165" fontId="12" fillId="3" borderId="1" xfId="1" applyNumberFormat="1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14" fillId="0" borderId="0" xfId="0" applyFont="1" applyFill="1" applyAlignment="1">
      <alignment horizontal="left"/>
    </xf>
    <xf numFmtId="0" fontId="13" fillId="0" borderId="0" xfId="0" applyFont="1" applyAlignment="1">
      <alignment horizontal="left"/>
    </xf>
    <xf numFmtId="0" fontId="0" fillId="0" borderId="9" xfId="0" applyBorder="1"/>
    <xf numFmtId="0" fontId="9" fillId="4" borderId="0" xfId="0" applyFont="1" applyFill="1" applyAlignment="1">
      <alignment horizontal="left" vertical="center" wrapText="1"/>
    </xf>
    <xf numFmtId="0" fontId="0" fillId="6" borderId="12" xfId="0" applyFill="1" applyBorder="1" applyProtection="1">
      <protection hidden="1"/>
    </xf>
    <xf numFmtId="165" fontId="8" fillId="13" borderId="13" xfId="1" applyNumberFormat="1" applyFont="1" applyFill="1" applyBorder="1" applyAlignment="1" applyProtection="1">
      <alignment horizontal="center" vertical="center"/>
      <protection locked="0" hidden="1"/>
    </xf>
    <xf numFmtId="174" fontId="8" fillId="12" borderId="13" xfId="3" applyNumberFormat="1" applyFont="1" applyFill="1" applyBorder="1" applyAlignment="1" applyProtection="1">
      <alignment vertical="center"/>
      <protection locked="0" hidden="1"/>
    </xf>
    <xf numFmtId="0" fontId="0" fillId="4" borderId="12" xfId="0" applyFill="1" applyBorder="1" applyProtection="1">
      <protection hidden="1"/>
    </xf>
    <xf numFmtId="0" fontId="0" fillId="0" borderId="14" xfId="0" applyFill="1" applyBorder="1" applyProtection="1">
      <protection hidden="1"/>
    </xf>
    <xf numFmtId="0" fontId="0" fillId="0" borderId="0" xfId="0" applyFill="1" applyBorder="1" applyProtection="1">
      <protection hidden="1"/>
    </xf>
    <xf numFmtId="9" fontId="8" fillId="12" borderId="13" xfId="2" applyFont="1" applyFill="1" applyBorder="1" applyAlignment="1" applyProtection="1">
      <alignment vertical="center"/>
      <protection locked="0" hidden="1"/>
    </xf>
    <xf numFmtId="10" fontId="8" fillId="13" borderId="13" xfId="2" applyNumberFormat="1" applyFont="1" applyFill="1" applyBorder="1" applyAlignment="1" applyProtection="1">
      <alignment horizontal="right" vertical="center"/>
      <protection locked="0" hidden="1"/>
    </xf>
    <xf numFmtId="0" fontId="0" fillId="4" borderId="0" xfId="0" applyFill="1" applyBorder="1" applyProtection="1">
      <protection hidden="1"/>
    </xf>
    <xf numFmtId="0" fontId="0" fillId="4" borderId="14" xfId="0" applyFill="1" applyBorder="1" applyProtection="1">
      <protection hidden="1"/>
    </xf>
    <xf numFmtId="14" fontId="8" fillId="12" borderId="15" xfId="3" applyNumberFormat="1" applyFont="1" applyFill="1" applyBorder="1" applyAlignment="1" applyProtection="1">
      <alignment vertical="center"/>
      <protection locked="0" hidden="1"/>
    </xf>
    <xf numFmtId="0" fontId="0" fillId="0" borderId="0" xfId="0" applyFill="1"/>
    <xf numFmtId="0" fontId="0" fillId="0" borderId="6" xfId="0" applyFill="1" applyBorder="1"/>
    <xf numFmtId="0" fontId="0" fillId="0" borderId="0" xfId="0" applyProtection="1">
      <protection hidden="1"/>
    </xf>
    <xf numFmtId="0" fontId="0" fillId="4" borderId="2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0" fillId="4" borderId="5" xfId="0" applyFill="1" applyBorder="1" applyProtection="1">
      <protection hidden="1"/>
    </xf>
    <xf numFmtId="165" fontId="0" fillId="6" borderId="13" xfId="1" applyNumberFormat="1" applyFont="1" applyFill="1" applyBorder="1" applyProtection="1">
      <protection hidden="1"/>
    </xf>
    <xf numFmtId="0" fontId="6" fillId="6" borderId="12" xfId="0" applyFont="1" applyFill="1" applyBorder="1" applyProtection="1">
      <protection hidden="1"/>
    </xf>
    <xf numFmtId="165" fontId="0" fillId="4" borderId="13" xfId="0" applyNumberFormat="1" applyFill="1" applyBorder="1" applyProtection="1">
      <protection hidden="1"/>
    </xf>
    <xf numFmtId="174" fontId="0" fillId="6" borderId="13" xfId="3" applyNumberFormat="1" applyFont="1" applyFill="1" applyBorder="1" applyProtection="1">
      <protection hidden="1"/>
    </xf>
    <xf numFmtId="10" fontId="0" fillId="6" borderId="13" xfId="2" applyNumberFormat="1" applyFont="1" applyFill="1" applyBorder="1" applyProtection="1">
      <protection hidden="1"/>
    </xf>
    <xf numFmtId="10" fontId="0" fillId="4" borderId="13" xfId="0" applyNumberFormat="1" applyFill="1" applyBorder="1" applyProtection="1">
      <protection hidden="1"/>
    </xf>
    <xf numFmtId="174" fontId="0" fillId="4" borderId="13" xfId="3" applyNumberFormat="1" applyFont="1" applyFill="1" applyBorder="1" applyProtection="1">
      <protection hidden="1"/>
    </xf>
    <xf numFmtId="14" fontId="0" fillId="6" borderId="13" xfId="0" applyNumberFormat="1" applyFill="1" applyBorder="1" applyProtection="1">
      <protection hidden="1"/>
    </xf>
    <xf numFmtId="10" fontId="3" fillId="4" borderId="13" xfId="0" applyNumberFormat="1" applyFont="1" applyFill="1" applyBorder="1" applyAlignment="1" applyProtection="1">
      <alignment horizontal="center"/>
      <protection hidden="1"/>
    </xf>
    <xf numFmtId="14" fontId="3" fillId="6" borderId="13" xfId="1" applyNumberFormat="1" applyFont="1" applyFill="1" applyBorder="1" applyAlignment="1" applyProtection="1">
      <alignment horizontal="center"/>
      <protection hidden="1"/>
    </xf>
    <xf numFmtId="1" fontId="0" fillId="0" borderId="15" xfId="0" applyNumberFormat="1" applyFill="1" applyBorder="1" applyAlignment="1" applyProtection="1">
      <alignment horizontal="center"/>
      <protection hidden="1"/>
    </xf>
    <xf numFmtId="10" fontId="0" fillId="0" borderId="15" xfId="2" applyNumberFormat="1" applyFont="1" applyFill="1" applyBorder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0" fontId="0" fillId="0" borderId="5" xfId="0" applyFill="1" applyBorder="1" applyProtection="1">
      <protection hidden="1"/>
    </xf>
    <xf numFmtId="14" fontId="8" fillId="0" borderId="0" xfId="3" applyNumberFormat="1" applyFont="1" applyFill="1" applyBorder="1" applyAlignment="1" applyProtection="1">
      <alignment vertical="center"/>
      <protection hidden="1"/>
    </xf>
    <xf numFmtId="1" fontId="0" fillId="0" borderId="0" xfId="0" applyNumberFormat="1" applyFill="1" applyBorder="1" applyAlignment="1" applyProtection="1">
      <alignment horizontal="center"/>
      <protection hidden="1"/>
    </xf>
    <xf numFmtId="10" fontId="0" fillId="0" borderId="0" xfId="2" applyNumberFormat="1" applyFont="1" applyFill="1" applyBorder="1" applyAlignment="1" applyProtection="1">
      <alignment horizontal="center"/>
      <protection hidden="1"/>
    </xf>
    <xf numFmtId="0" fontId="19" fillId="0" borderId="0" xfId="0" applyFont="1" applyBorder="1" applyAlignment="1" applyProtection="1">
      <alignment vertical="center"/>
      <protection hidden="1"/>
    </xf>
    <xf numFmtId="0" fontId="20" fillId="11" borderId="0" xfId="0" applyFont="1" applyFill="1" applyBorder="1" applyAlignment="1" applyProtection="1">
      <alignment vertical="center"/>
      <protection hidden="1"/>
    </xf>
    <xf numFmtId="0" fontId="0" fillId="0" borderId="0" xfId="0" applyBorder="1" applyProtection="1">
      <protection hidden="1"/>
    </xf>
    <xf numFmtId="0" fontId="21" fillId="11" borderId="0" xfId="0" applyFont="1" applyFill="1" applyBorder="1" applyAlignment="1" applyProtection="1">
      <alignment vertic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9" fillId="0" borderId="0" xfId="0" applyFont="1" applyProtection="1">
      <protection hidden="1"/>
    </xf>
    <xf numFmtId="0" fontId="10" fillId="4" borderId="0" xfId="0" applyFont="1" applyFill="1" applyAlignment="1" applyProtection="1">
      <alignment vertical="center"/>
      <protection hidden="1"/>
    </xf>
    <xf numFmtId="174" fontId="9" fillId="0" borderId="0" xfId="0" applyNumberFormat="1" applyFont="1" applyProtection="1">
      <protection hidden="1"/>
    </xf>
    <xf numFmtId="0" fontId="9" fillId="0" borderId="0" xfId="0" applyFont="1" applyAlignment="1" applyProtection="1">
      <alignment wrapText="1"/>
      <protection hidden="1"/>
    </xf>
    <xf numFmtId="0" fontId="9" fillId="4" borderId="0" xfId="0" applyFont="1" applyFill="1" applyAlignment="1" applyProtection="1">
      <alignment vertical="center" wrapText="1"/>
      <protection hidden="1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13" fillId="0" borderId="0" xfId="0" applyFont="1" applyFill="1" applyBorder="1" applyAlignment="1">
      <alignment horizontal="center"/>
    </xf>
    <xf numFmtId="171" fontId="11" fillId="0" borderId="0" xfId="0" applyNumberFormat="1" applyFont="1"/>
    <xf numFmtId="0" fontId="11" fillId="0" borderId="1" xfId="0" applyFont="1" applyBorder="1"/>
    <xf numFmtId="170" fontId="11" fillId="0" borderId="1" xfId="1" applyNumberFormat="1" applyFont="1" applyBorder="1"/>
    <xf numFmtId="165" fontId="12" fillId="0" borderId="0" xfId="0" applyNumberFormat="1" applyFont="1" applyAlignment="1">
      <alignment horizontal="center"/>
    </xf>
    <xf numFmtId="1" fontId="0" fillId="0" borderId="0" xfId="0" applyNumberFormat="1"/>
    <xf numFmtId="0" fontId="22" fillId="0" borderId="0" xfId="0" applyFont="1" applyBorder="1" applyAlignment="1" applyProtection="1">
      <alignment horizontal="left" vertical="center"/>
      <protection hidden="1"/>
    </xf>
    <xf numFmtId="0" fontId="25" fillId="0" borderId="0" xfId="0" applyFont="1" applyBorder="1" applyAlignment="1" applyProtection="1">
      <alignment vertical="center"/>
      <protection hidden="1"/>
    </xf>
    <xf numFmtId="0" fontId="22" fillId="11" borderId="0" xfId="0" applyFont="1" applyFill="1" applyBorder="1" applyAlignment="1" applyProtection="1">
      <alignment vertical="center"/>
      <protection hidden="1"/>
    </xf>
    <xf numFmtId="0" fontId="0" fillId="0" borderId="0" xfId="0" applyFont="1" applyBorder="1" applyProtection="1">
      <protection hidden="1"/>
    </xf>
    <xf numFmtId="0" fontId="24" fillId="11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Alignment="1">
      <alignment horizontal="center"/>
    </xf>
    <xf numFmtId="0" fontId="7" fillId="4" borderId="0" xfId="0" applyFont="1" applyFill="1" applyBorder="1" applyAlignment="1" applyProtection="1">
      <alignment horizontal="center"/>
      <protection hidden="1"/>
    </xf>
    <xf numFmtId="0" fontId="2" fillId="9" borderId="10" xfId="0" applyFont="1" applyFill="1" applyBorder="1" applyAlignment="1" applyProtection="1">
      <alignment horizontal="center"/>
      <protection hidden="1"/>
    </xf>
    <xf numFmtId="0" fontId="2" fillId="9" borderId="11" xfId="0" applyFont="1" applyFill="1" applyBorder="1" applyAlignment="1" applyProtection="1">
      <alignment horizontal="center"/>
      <protection hidden="1"/>
    </xf>
    <xf numFmtId="0" fontId="2" fillId="10" borderId="10" xfId="0" applyFont="1" applyFill="1" applyBorder="1" applyAlignment="1" applyProtection="1">
      <alignment horizontal="center"/>
      <protection hidden="1"/>
    </xf>
    <xf numFmtId="0" fontId="2" fillId="10" borderId="11" xfId="0" applyFont="1" applyFill="1" applyBorder="1" applyAlignment="1" applyProtection="1">
      <alignment horizontal="center"/>
      <protection hidden="1"/>
    </xf>
    <xf numFmtId="0" fontId="2" fillId="2" borderId="10" xfId="0" applyFont="1" applyFill="1" applyBorder="1" applyAlignment="1" applyProtection="1">
      <alignment horizontal="center"/>
      <protection hidden="1"/>
    </xf>
    <xf numFmtId="0" fontId="2" fillId="2" borderId="11" xfId="0" applyFont="1" applyFill="1" applyBorder="1" applyAlignment="1" applyProtection="1">
      <alignment horizontal="center"/>
      <protection hidden="1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left" vertical="center" wrapText="1"/>
      <protection hidden="1"/>
    </xf>
    <xf numFmtId="0" fontId="16" fillId="0" borderId="0" xfId="0" applyFont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5" fillId="2" borderId="0" xfId="0" applyFont="1" applyFill="1" applyAlignment="1">
      <alignment horizontal="center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1</xdr:row>
      <xdr:rowOff>76199</xdr:rowOff>
    </xdr:from>
    <xdr:to>
      <xdr:col>9</xdr:col>
      <xdr:colOff>819150</xdr:colOff>
      <xdr:row>4</xdr:row>
      <xdr:rowOff>84274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8309" t="94545" r="12551"/>
        <a:stretch/>
      </xdr:blipFill>
      <xdr:spPr>
        <a:xfrm>
          <a:off x="561975" y="276224"/>
          <a:ext cx="10801350" cy="465275"/>
        </a:xfrm>
        <a:prstGeom prst="rect">
          <a:avLst/>
        </a:prstGeom>
      </xdr:spPr>
    </xdr:pic>
    <xdr:clientData/>
  </xdr:twoCellAnchor>
  <xdr:twoCellAnchor editAs="oneCell">
    <xdr:from>
      <xdr:col>2</xdr:col>
      <xdr:colOff>1638300</xdr:colOff>
      <xdr:row>4</xdr:row>
      <xdr:rowOff>171450</xdr:rowOff>
    </xdr:from>
    <xdr:to>
      <xdr:col>2</xdr:col>
      <xdr:colOff>2190750</xdr:colOff>
      <xdr:row>7</xdr:row>
      <xdr:rowOff>1270</xdr:rowOff>
    </xdr:to>
    <xdr:pic>
      <xdr:nvPicPr>
        <xdr:cNvPr id="3" name="Imagen 2" descr="Hipotecario | Leasing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1700" y="828675"/>
          <a:ext cx="552450" cy="4775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93"/>
  <sheetViews>
    <sheetView showGridLines="0" workbookViewId="0">
      <selection activeCell="H14" sqref="H14"/>
    </sheetView>
  </sheetViews>
  <sheetFormatPr baseColWidth="10" defaultRowHeight="15" x14ac:dyDescent="0.25"/>
  <cols>
    <col min="1" max="1" width="12" bestFit="1" customWidth="1"/>
    <col min="2" max="2" width="12.5703125" bestFit="1" customWidth="1"/>
    <col min="3" max="3" width="14.5703125" bestFit="1" customWidth="1"/>
    <col min="4" max="5" width="10.5703125" bestFit="1" customWidth="1"/>
    <col min="6" max="6" width="12.5703125" bestFit="1" customWidth="1"/>
    <col min="7" max="7" width="9.7109375" bestFit="1" customWidth="1"/>
    <col min="8" max="8" width="9.7109375" customWidth="1"/>
    <col min="9" max="9" width="1.28515625" style="14" customWidth="1"/>
    <col min="10" max="10" width="12.5703125" bestFit="1" customWidth="1"/>
    <col min="11" max="11" width="130" bestFit="1" customWidth="1"/>
    <col min="12" max="12" width="12.28515625" bestFit="1" customWidth="1"/>
    <col min="13" max="13" width="11.5703125" bestFit="1" customWidth="1"/>
    <col min="14" max="14" width="5.140625" bestFit="1" customWidth="1"/>
    <col min="15" max="15" width="10.5703125" bestFit="1" customWidth="1"/>
    <col min="16" max="16" width="12.28515625" bestFit="1" customWidth="1"/>
    <col min="17" max="17" width="7.140625" bestFit="1" customWidth="1"/>
    <col min="18" max="18" width="6.140625" bestFit="1" customWidth="1"/>
    <col min="19" max="19" width="7.140625" bestFit="1" customWidth="1"/>
  </cols>
  <sheetData>
    <row r="2" spans="1:23" x14ac:dyDescent="0.25">
      <c r="A2" s="12" t="s">
        <v>0</v>
      </c>
      <c r="K2" s="5"/>
      <c r="L2" s="5"/>
    </row>
    <row r="3" spans="1:23" x14ac:dyDescent="0.25">
      <c r="B3" s="3"/>
      <c r="D3" s="3"/>
      <c r="E3" s="3"/>
      <c r="K3" s="5"/>
    </row>
    <row r="4" spans="1:23" x14ac:dyDescent="0.25">
      <c r="A4" t="s">
        <v>90</v>
      </c>
      <c r="B4" s="3">
        <v>150000000</v>
      </c>
      <c r="J4" s="3"/>
      <c r="K4" s="5"/>
      <c r="P4" s="3"/>
      <c r="Q4" s="4"/>
      <c r="S4" s="2"/>
      <c r="V4" s="3"/>
    </row>
    <row r="5" spans="1:23" x14ac:dyDescent="0.25">
      <c r="A5" t="s">
        <v>91</v>
      </c>
      <c r="B5" s="5">
        <v>180</v>
      </c>
      <c r="C5" s="19">
        <f>+B5/12</f>
        <v>15</v>
      </c>
      <c r="J5" s="2"/>
      <c r="K5" s="5"/>
      <c r="P5" s="5"/>
    </row>
    <row r="6" spans="1:23" x14ac:dyDescent="0.25">
      <c r="A6" t="s">
        <v>93</v>
      </c>
      <c r="B6" s="2">
        <v>0.15</v>
      </c>
      <c r="G6" s="1" t="s">
        <v>97</v>
      </c>
      <c r="H6" s="1"/>
      <c r="I6" s="15"/>
      <c r="J6" s="11">
        <f>+IRR(J12:J192)</f>
        <v>1.3214916919853215E-2</v>
      </c>
      <c r="K6" s="2"/>
      <c r="L6" s="2"/>
      <c r="P6" s="5"/>
    </row>
    <row r="7" spans="1:23" x14ac:dyDescent="0.25">
      <c r="A7" t="s">
        <v>92</v>
      </c>
      <c r="B7" s="4">
        <f>+(1+B6)^(0.0833333333333333)-1</f>
        <v>1.171491691985338E-2</v>
      </c>
      <c r="G7" s="12" t="s">
        <v>98</v>
      </c>
      <c r="H7" s="12"/>
      <c r="I7" s="16"/>
      <c r="J7" s="13">
        <f>+(1+J6)^(12)-1</f>
        <v>0.17062797948925645</v>
      </c>
      <c r="K7" s="5"/>
      <c r="P7" s="5"/>
    </row>
    <row r="8" spans="1:23" x14ac:dyDescent="0.25">
      <c r="A8" t="s">
        <v>1</v>
      </c>
      <c r="B8" s="5">
        <v>1500</v>
      </c>
      <c r="C8" t="s">
        <v>94</v>
      </c>
      <c r="P8" s="5"/>
    </row>
    <row r="9" spans="1:23" x14ac:dyDescent="0.25">
      <c r="B9" s="4"/>
      <c r="P9" s="5"/>
    </row>
    <row r="10" spans="1:23" x14ac:dyDescent="0.25">
      <c r="C10" s="9" t="s">
        <v>2</v>
      </c>
      <c r="D10" s="9" t="s">
        <v>3</v>
      </c>
      <c r="E10" s="9" t="s">
        <v>4</v>
      </c>
      <c r="F10" s="9" t="s">
        <v>5</v>
      </c>
      <c r="G10" s="9" t="s">
        <v>206</v>
      </c>
      <c r="H10" s="9"/>
      <c r="I10" s="17"/>
      <c r="J10" s="9" t="s">
        <v>96</v>
      </c>
    </row>
    <row r="11" spans="1:23" x14ac:dyDescent="0.25">
      <c r="B11" s="6"/>
      <c r="F11" s="5"/>
      <c r="P11" s="6"/>
      <c r="T11" s="5"/>
    </row>
    <row r="12" spans="1:23" x14ac:dyDescent="0.25">
      <c r="B12" s="8">
        <v>0</v>
      </c>
      <c r="C12" s="7">
        <v>0</v>
      </c>
      <c r="D12" s="3"/>
      <c r="E12" s="5"/>
      <c r="F12" s="5">
        <f>+B4</f>
        <v>150000000</v>
      </c>
      <c r="G12" s="3"/>
      <c r="H12" s="3"/>
      <c r="I12" s="18"/>
      <c r="J12" s="3">
        <f>+F12</f>
        <v>150000000</v>
      </c>
      <c r="M12" s="5"/>
      <c r="O12" s="5"/>
      <c r="P12" s="6"/>
      <c r="Q12" s="7"/>
      <c r="R12" s="3"/>
      <c r="S12" s="5"/>
      <c r="T12" s="5"/>
      <c r="U12" s="3"/>
      <c r="V12" s="3"/>
      <c r="W12" s="5"/>
    </row>
    <row r="13" spans="1:23" x14ac:dyDescent="0.25">
      <c r="B13" s="6" t="s">
        <v>6</v>
      </c>
      <c r="C13" s="7">
        <f>+PMT(B7,B5,B4)</f>
        <v>-2003450.5636296037</v>
      </c>
      <c r="D13" s="3">
        <f t="shared" ref="D13:D44" si="0">+F12*$B$7</f>
        <v>1757237.537978007</v>
      </c>
      <c r="E13" s="5">
        <f t="shared" ref="E13:E76" si="1">+-C13-D13</f>
        <v>246213.02565159672</v>
      </c>
      <c r="F13" s="5">
        <f t="shared" ref="F13:F76" si="2">+F12-E13</f>
        <v>149753786.9743484</v>
      </c>
      <c r="G13" s="3">
        <f t="shared" ref="G13:G44" si="3">+-F12/1000000*$B$8</f>
        <v>-225000</v>
      </c>
      <c r="H13" s="3"/>
      <c r="I13" s="18"/>
      <c r="J13" s="10">
        <f t="shared" ref="J13:J76" si="4">+C13+G13</f>
        <v>-2228450.5636296039</v>
      </c>
      <c r="M13" s="3"/>
      <c r="O13" s="3"/>
      <c r="P13" s="6"/>
      <c r="Q13" s="7"/>
      <c r="R13" s="3"/>
      <c r="S13" s="5"/>
      <c r="T13" s="5"/>
      <c r="U13" s="3"/>
      <c r="V13" s="3"/>
      <c r="W13" s="5"/>
    </row>
    <row r="14" spans="1:23" x14ac:dyDescent="0.25">
      <c r="B14" s="6" t="s">
        <v>7</v>
      </c>
      <c r="C14" s="7">
        <f t="shared" ref="C14:C77" si="5">+C13</f>
        <v>-2003450.5636296037</v>
      </c>
      <c r="D14" s="3">
        <f t="shared" si="0"/>
        <v>1754353.1728379128</v>
      </c>
      <c r="E14" s="5">
        <f t="shared" si="1"/>
        <v>249097.39079169091</v>
      </c>
      <c r="F14" s="5">
        <f t="shared" si="2"/>
        <v>149504689.58355671</v>
      </c>
      <c r="G14" s="3">
        <f t="shared" si="3"/>
        <v>-224630.6804615226</v>
      </c>
      <c r="H14" s="3"/>
      <c r="I14" s="18"/>
      <c r="J14" s="10">
        <f t="shared" si="4"/>
        <v>-2228081.2440911261</v>
      </c>
      <c r="O14" s="3"/>
      <c r="P14" s="6"/>
      <c r="Q14" s="7"/>
      <c r="R14" s="3"/>
      <c r="S14" s="5"/>
      <c r="T14" s="5"/>
      <c r="U14" s="3"/>
      <c r="V14" s="3"/>
      <c r="W14" s="5"/>
    </row>
    <row r="15" spans="1:23" x14ac:dyDescent="0.25">
      <c r="B15" s="6" t="s">
        <v>8</v>
      </c>
      <c r="C15" s="7">
        <f t="shared" si="5"/>
        <v>-2003450.5636296037</v>
      </c>
      <c r="D15" s="3">
        <f t="shared" si="0"/>
        <v>1751435.0175998358</v>
      </c>
      <c r="E15" s="5">
        <f t="shared" si="1"/>
        <v>252015.54602976795</v>
      </c>
      <c r="F15" s="5">
        <f t="shared" si="2"/>
        <v>149252674.03752694</v>
      </c>
      <c r="G15" s="3">
        <f t="shared" si="3"/>
        <v>-224257.03437533506</v>
      </c>
      <c r="H15" s="3"/>
      <c r="I15" s="18"/>
      <c r="J15" s="10">
        <f t="shared" si="4"/>
        <v>-2227707.5980049386</v>
      </c>
      <c r="O15" s="3"/>
      <c r="P15" s="6"/>
      <c r="Q15" s="7"/>
      <c r="R15" s="3"/>
      <c r="S15" s="5"/>
      <c r="T15" s="5"/>
      <c r="U15" s="3"/>
      <c r="V15" s="3"/>
      <c r="W15" s="5"/>
    </row>
    <row r="16" spans="1:23" x14ac:dyDescent="0.25">
      <c r="B16" s="6" t="s">
        <v>9</v>
      </c>
      <c r="C16" s="7">
        <f t="shared" si="5"/>
        <v>-2003450.5636296037</v>
      </c>
      <c r="D16" s="3">
        <f t="shared" si="0"/>
        <v>1748482.6764155854</v>
      </c>
      <c r="E16" s="5">
        <f t="shared" si="1"/>
        <v>254967.88721401826</v>
      </c>
      <c r="F16" s="5">
        <f t="shared" si="2"/>
        <v>148997706.15031293</v>
      </c>
      <c r="G16" s="3">
        <f t="shared" si="3"/>
        <v>-223879.01105629039</v>
      </c>
      <c r="H16" s="3"/>
      <c r="I16" s="18"/>
      <c r="J16" s="10">
        <f t="shared" si="4"/>
        <v>-2227329.574685894</v>
      </c>
      <c r="P16" s="6"/>
      <c r="Q16" s="7"/>
      <c r="R16" s="3"/>
      <c r="S16" s="5"/>
      <c r="T16" s="5"/>
      <c r="U16" s="3"/>
      <c r="V16" s="3"/>
      <c r="W16" s="5"/>
    </row>
    <row r="17" spans="2:23" x14ac:dyDescent="0.25">
      <c r="B17" s="6" t="s">
        <v>10</v>
      </c>
      <c r="C17" s="7">
        <f t="shared" si="5"/>
        <v>-2003450.5636296037</v>
      </c>
      <c r="D17" s="3">
        <f t="shared" si="0"/>
        <v>1745495.748799643</v>
      </c>
      <c r="E17" s="5">
        <f t="shared" si="1"/>
        <v>257954.8148299607</v>
      </c>
      <c r="F17" s="5">
        <f t="shared" si="2"/>
        <v>148739751.33548295</v>
      </c>
      <c r="G17" s="3">
        <f t="shared" si="3"/>
        <v>-223496.55922546939</v>
      </c>
      <c r="H17" s="3"/>
      <c r="I17" s="18"/>
      <c r="J17" s="10">
        <f t="shared" si="4"/>
        <v>-2226947.1228550733</v>
      </c>
      <c r="P17" s="6"/>
      <c r="Q17" s="7"/>
      <c r="R17" s="3"/>
      <c r="S17" s="5"/>
      <c r="T17" s="5"/>
      <c r="U17" s="3"/>
      <c r="V17" s="3"/>
      <c r="W17" s="5"/>
    </row>
    <row r="18" spans="2:23" x14ac:dyDescent="0.25">
      <c r="B18" s="6" t="s">
        <v>11</v>
      </c>
      <c r="C18" s="7">
        <f t="shared" si="5"/>
        <v>-2003450.5636296037</v>
      </c>
      <c r="D18" s="3">
        <f t="shared" si="0"/>
        <v>1742473.8295748336</v>
      </c>
      <c r="E18" s="5">
        <f t="shared" si="1"/>
        <v>260976.73405477009</v>
      </c>
      <c r="F18" s="5">
        <f t="shared" si="2"/>
        <v>148478774.60142818</v>
      </c>
      <c r="G18" s="3">
        <f t="shared" si="3"/>
        <v>-223109.62700322445</v>
      </c>
      <c r="H18" s="3"/>
      <c r="I18" s="18"/>
      <c r="J18" s="10">
        <f t="shared" si="4"/>
        <v>-2226560.190632828</v>
      </c>
      <c r="K18" s="5"/>
      <c r="P18" s="6"/>
      <c r="Q18" s="7"/>
      <c r="R18" s="3"/>
      <c r="S18" s="5"/>
      <c r="T18" s="5"/>
      <c r="U18" s="3"/>
      <c r="V18" s="3"/>
      <c r="W18" s="5"/>
    </row>
    <row r="19" spans="2:23" x14ac:dyDescent="0.25">
      <c r="B19" s="6" t="s">
        <v>12</v>
      </c>
      <c r="C19" s="7">
        <f t="shared" si="5"/>
        <v>-2003450.5636296037</v>
      </c>
      <c r="D19" s="3">
        <f t="shared" si="0"/>
        <v>1739416.5088173673</v>
      </c>
      <c r="E19" s="5">
        <f t="shared" si="1"/>
        <v>264034.05481223646</v>
      </c>
      <c r="F19" s="5">
        <f t="shared" si="2"/>
        <v>148214740.54661596</v>
      </c>
      <c r="G19" s="3">
        <f t="shared" si="3"/>
        <v>-222718.16190214225</v>
      </c>
      <c r="H19" s="3"/>
      <c r="I19" s="18"/>
      <c r="J19" s="10">
        <f t="shared" si="4"/>
        <v>-2226168.7255317462</v>
      </c>
      <c r="K19" s="5"/>
      <c r="P19" s="6"/>
      <c r="Q19" s="7"/>
      <c r="R19" s="3"/>
      <c r="S19" s="5"/>
      <c r="T19" s="5"/>
      <c r="U19" s="3"/>
      <c r="V19" s="3"/>
      <c r="W19" s="5"/>
    </row>
    <row r="20" spans="2:23" x14ac:dyDescent="0.25">
      <c r="B20" s="6" t="s">
        <v>13</v>
      </c>
      <c r="C20" s="7">
        <f t="shared" si="5"/>
        <v>-2003450.5636296037</v>
      </c>
      <c r="D20" s="3">
        <f t="shared" si="0"/>
        <v>1736323.3718012301</v>
      </c>
      <c r="E20" s="5">
        <f t="shared" si="1"/>
        <v>267127.19182837359</v>
      </c>
      <c r="F20" s="5">
        <f t="shared" si="2"/>
        <v>147947613.35478759</v>
      </c>
      <c r="G20" s="3">
        <f t="shared" si="3"/>
        <v>-222322.11081992392</v>
      </c>
      <c r="H20" s="3"/>
      <c r="I20" s="18"/>
      <c r="J20" s="10">
        <f t="shared" si="4"/>
        <v>-2225772.6744495276</v>
      </c>
      <c r="K20" s="5"/>
      <c r="P20" s="6"/>
      <c r="Q20" s="7"/>
      <c r="R20" s="3"/>
      <c r="S20" s="5"/>
      <c r="T20" s="5"/>
      <c r="U20" s="3"/>
      <c r="V20" s="3"/>
      <c r="W20" s="5"/>
    </row>
    <row r="21" spans="2:23" x14ac:dyDescent="0.25">
      <c r="B21" s="6" t="s">
        <v>14</v>
      </c>
      <c r="C21" s="7">
        <f t="shared" si="5"/>
        <v>-2003450.5636296037</v>
      </c>
      <c r="D21" s="3">
        <f t="shared" si="0"/>
        <v>1733193.998941927</v>
      </c>
      <c r="E21" s="5">
        <f t="shared" si="1"/>
        <v>270256.56468767673</v>
      </c>
      <c r="F21" s="5">
        <f t="shared" si="2"/>
        <v>147677356.79009992</v>
      </c>
      <c r="G21" s="3">
        <f t="shared" si="3"/>
        <v>-221921.4200321814</v>
      </c>
      <c r="H21" s="3"/>
      <c r="I21" s="18"/>
      <c r="J21" s="10">
        <f t="shared" si="4"/>
        <v>-2225371.9836617853</v>
      </c>
      <c r="K21" s="6" t="s">
        <v>109</v>
      </c>
      <c r="Q21" s="7"/>
      <c r="R21" s="3"/>
      <c r="S21" s="5"/>
      <c r="T21" s="5"/>
      <c r="U21" s="3"/>
      <c r="V21" s="3"/>
      <c r="W21" s="5"/>
    </row>
    <row r="22" spans="2:23" x14ac:dyDescent="0.25">
      <c r="B22" s="6" t="s">
        <v>15</v>
      </c>
      <c r="C22" s="7">
        <f t="shared" si="5"/>
        <v>-2003450.5636296037</v>
      </c>
      <c r="D22" s="3">
        <f t="shared" si="0"/>
        <v>1730027.9657395659</v>
      </c>
      <c r="E22" s="5">
        <f t="shared" si="1"/>
        <v>273422.59789003781</v>
      </c>
      <c r="F22" s="5">
        <f t="shared" si="2"/>
        <v>147403934.19220987</v>
      </c>
      <c r="G22" s="3">
        <f t="shared" si="3"/>
        <v>-221516.03518514987</v>
      </c>
      <c r="H22" s="3"/>
      <c r="I22" s="18"/>
      <c r="J22" s="10">
        <f t="shared" si="4"/>
        <v>-2224966.5988147538</v>
      </c>
      <c r="K22" s="5"/>
      <c r="P22" s="6"/>
      <c r="Q22" s="7"/>
      <c r="R22" s="3"/>
      <c r="S22" s="5"/>
      <c r="T22" s="5"/>
      <c r="U22" s="3"/>
      <c r="V22" s="3"/>
      <c r="W22" s="5"/>
    </row>
    <row r="23" spans="2:23" x14ac:dyDescent="0.25">
      <c r="B23" s="6" t="s">
        <v>16</v>
      </c>
      <c r="C23" s="7">
        <f t="shared" si="5"/>
        <v>-2003450.5636296037</v>
      </c>
      <c r="D23" s="3">
        <f t="shared" si="0"/>
        <v>1726824.8427212734</v>
      </c>
      <c r="E23" s="5">
        <f t="shared" si="1"/>
        <v>276625.72090833029</v>
      </c>
      <c r="F23" s="5">
        <f t="shared" si="2"/>
        <v>147127308.47130153</v>
      </c>
      <c r="G23" s="3">
        <f t="shared" si="3"/>
        <v>-221105.90128831481</v>
      </c>
      <c r="H23" s="3"/>
      <c r="I23" s="18"/>
      <c r="J23" s="10">
        <f t="shared" si="4"/>
        <v>-2224556.4649179187</v>
      </c>
      <c r="K23" s="5"/>
      <c r="P23" s="6" t="s">
        <v>99</v>
      </c>
      <c r="Q23" s="7"/>
      <c r="R23" s="3"/>
      <c r="S23" s="5"/>
      <c r="T23" s="5"/>
      <c r="U23" s="3"/>
      <c r="V23" s="3"/>
      <c r="W23" s="5"/>
    </row>
    <row r="24" spans="2:23" x14ac:dyDescent="0.25">
      <c r="B24" s="6" t="s">
        <v>17</v>
      </c>
      <c r="C24" s="7">
        <f t="shared" si="5"/>
        <v>-2003450.5636296037</v>
      </c>
      <c r="D24" s="3">
        <f t="shared" si="0"/>
        <v>1723584.1953829378</v>
      </c>
      <c r="E24" s="5">
        <f t="shared" si="1"/>
        <v>279866.36824666592</v>
      </c>
      <c r="F24" s="5">
        <f t="shared" si="2"/>
        <v>146847442.10305485</v>
      </c>
      <c r="G24" s="3">
        <f t="shared" si="3"/>
        <v>-220690.96270695227</v>
      </c>
      <c r="H24" s="3"/>
      <c r="I24" s="18"/>
      <c r="J24" s="10">
        <f t="shared" si="4"/>
        <v>-2224141.5263365558</v>
      </c>
      <c r="K24" s="5">
        <f>+AVERAGE(F12:F23)</f>
        <v>148591528.00313923</v>
      </c>
      <c r="L24" s="5">
        <f>+SUM(J13:J24)</f>
        <v>-26716054.267611753</v>
      </c>
      <c r="M24" s="5">
        <f>+SUM(D13:D24)</f>
        <v>20888848.866610117</v>
      </c>
      <c r="N24" s="5">
        <f>+-SUM(G13:G24)</f>
        <v>2674647.5040565059</v>
      </c>
      <c r="O24" s="5">
        <f>+SUM(E13:E24)</f>
        <v>3152557.8969451254</v>
      </c>
      <c r="P24" s="5">
        <f>+N24+M24</f>
        <v>23563496.370666623</v>
      </c>
      <c r="Q24" s="2">
        <f>+P24/K24</f>
        <v>0.15857900303824057</v>
      </c>
      <c r="R24" s="2">
        <f>+Q24/12</f>
        <v>1.3214916919853381E-2</v>
      </c>
      <c r="S24" s="13">
        <f>+(1+R24)^(12)-1</f>
        <v>0.17062797948925956</v>
      </c>
      <c r="T24" s="5"/>
      <c r="U24" s="3"/>
      <c r="V24" s="3"/>
      <c r="W24" s="5"/>
    </row>
    <row r="25" spans="2:23" x14ac:dyDescent="0.25">
      <c r="B25" s="6" t="s">
        <v>18</v>
      </c>
      <c r="C25" s="7">
        <f t="shared" si="5"/>
        <v>-2003450.5636296037</v>
      </c>
      <c r="D25" s="3">
        <f t="shared" si="0"/>
        <v>1720305.5841302669</v>
      </c>
      <c r="E25" s="5">
        <f t="shared" si="1"/>
        <v>283144.9794993368</v>
      </c>
      <c r="F25" s="5">
        <f t="shared" si="2"/>
        <v>146564297.12355551</v>
      </c>
      <c r="G25" s="3">
        <f t="shared" si="3"/>
        <v>-220271.16315458226</v>
      </c>
      <c r="H25" s="3"/>
      <c r="I25" s="18"/>
      <c r="J25" s="10">
        <f t="shared" si="4"/>
        <v>-2223721.726784186</v>
      </c>
      <c r="K25" s="5"/>
      <c r="P25" s="6"/>
      <c r="Q25" s="7"/>
      <c r="R25" s="3"/>
      <c r="S25" s="5"/>
      <c r="T25" s="5"/>
      <c r="U25" s="3"/>
      <c r="V25" s="3"/>
      <c r="W25" s="5"/>
    </row>
    <row r="26" spans="2:23" x14ac:dyDescent="0.25">
      <c r="B26" s="6" t="s">
        <v>19</v>
      </c>
      <c r="C26" s="7">
        <f t="shared" si="5"/>
        <v>-2003450.5636296037</v>
      </c>
      <c r="D26" s="3">
        <f t="shared" si="0"/>
        <v>1716988.5642191586</v>
      </c>
      <c r="E26" s="5">
        <f t="shared" si="1"/>
        <v>286461.9994104451</v>
      </c>
      <c r="F26" s="5">
        <f t="shared" si="2"/>
        <v>146277835.12414506</v>
      </c>
      <c r="G26" s="3">
        <f t="shared" si="3"/>
        <v>-219846.44568533328</v>
      </c>
      <c r="H26" s="3"/>
      <c r="I26" s="18"/>
      <c r="J26" s="10">
        <f t="shared" si="4"/>
        <v>-2223297.0093149371</v>
      </c>
      <c r="K26" s="5"/>
      <c r="P26" s="6"/>
      <c r="Q26" s="7"/>
      <c r="R26" s="3"/>
      <c r="S26" s="5"/>
      <c r="T26" s="5"/>
      <c r="U26" s="3"/>
      <c r="V26" s="3"/>
      <c r="W26" s="5"/>
    </row>
    <row r="27" spans="2:23" x14ac:dyDescent="0.25">
      <c r="B27" s="6" t="s">
        <v>20</v>
      </c>
      <c r="C27" s="7">
        <f t="shared" si="5"/>
        <v>-2003450.5636296037</v>
      </c>
      <c r="D27" s="3">
        <f t="shared" si="0"/>
        <v>1713632.68569537</v>
      </c>
      <c r="E27" s="5">
        <f t="shared" si="1"/>
        <v>289817.87793423375</v>
      </c>
      <c r="F27" s="5">
        <f t="shared" si="2"/>
        <v>145988017.24621081</v>
      </c>
      <c r="G27" s="3">
        <f t="shared" si="3"/>
        <v>-219416.7526862176</v>
      </c>
      <c r="H27" s="3"/>
      <c r="I27" s="18"/>
      <c r="J27" s="10">
        <f t="shared" si="4"/>
        <v>-2222867.3163158214</v>
      </c>
      <c r="K27" s="5"/>
      <c r="P27" s="6"/>
      <c r="Q27" s="7"/>
      <c r="R27" s="3"/>
      <c r="S27" s="5"/>
      <c r="T27" s="5"/>
      <c r="U27" s="3"/>
      <c r="V27" s="3"/>
      <c r="W27" s="5"/>
    </row>
    <row r="28" spans="2:23" x14ac:dyDescent="0.25">
      <c r="B28" s="6" t="s">
        <v>21</v>
      </c>
      <c r="C28" s="7">
        <f t="shared" si="5"/>
        <v>-2003450.5636296037</v>
      </c>
      <c r="D28" s="3">
        <f t="shared" si="0"/>
        <v>1710237.4933334822</v>
      </c>
      <c r="E28" s="5">
        <f t="shared" si="1"/>
        <v>293213.07029612153</v>
      </c>
      <c r="F28" s="5">
        <f t="shared" si="2"/>
        <v>145694804.1759147</v>
      </c>
      <c r="G28" s="3">
        <f t="shared" si="3"/>
        <v>-218982.02586931619</v>
      </c>
      <c r="H28" s="3"/>
      <c r="I28" s="18"/>
      <c r="J28" s="10">
        <f t="shared" si="4"/>
        <v>-2222432.5894989199</v>
      </c>
      <c r="K28" s="5"/>
      <c r="P28" s="6"/>
      <c r="Q28" s="7"/>
      <c r="R28" s="3"/>
      <c r="S28" s="5"/>
      <c r="T28" s="5"/>
      <c r="U28" s="3"/>
      <c r="V28" s="3"/>
      <c r="W28" s="5"/>
    </row>
    <row r="29" spans="2:23" x14ac:dyDescent="0.25">
      <c r="B29" s="6" t="s">
        <v>22</v>
      </c>
      <c r="C29" s="7">
        <f t="shared" si="5"/>
        <v>-2003450.5636296037</v>
      </c>
      <c r="D29" s="3">
        <f t="shared" si="0"/>
        <v>1706802.5265751481</v>
      </c>
      <c r="E29" s="5">
        <f t="shared" si="1"/>
        <v>296648.03705445561</v>
      </c>
      <c r="F29" s="5">
        <f t="shared" si="2"/>
        <v>145398156.13886026</v>
      </c>
      <c r="G29" s="3">
        <f t="shared" si="3"/>
        <v>-218542.20626387204</v>
      </c>
      <c r="H29" s="3"/>
      <c r="I29" s="18"/>
      <c r="J29" s="10">
        <f t="shared" si="4"/>
        <v>-2221992.7698934758</v>
      </c>
      <c r="K29" s="5"/>
      <c r="P29" s="6"/>
      <c r="Q29" s="7"/>
      <c r="R29" s="3"/>
      <c r="S29" s="5"/>
      <c r="T29" s="5"/>
      <c r="U29" s="3"/>
      <c r="V29" s="3"/>
      <c r="W29" s="5"/>
    </row>
    <row r="30" spans="2:23" x14ac:dyDescent="0.25">
      <c r="B30" s="6" t="s">
        <v>23</v>
      </c>
      <c r="C30" s="7">
        <f t="shared" si="5"/>
        <v>-2003450.5636296037</v>
      </c>
      <c r="D30" s="3">
        <f t="shared" si="0"/>
        <v>1703327.3194666177</v>
      </c>
      <c r="E30" s="5">
        <f t="shared" si="1"/>
        <v>300123.24416298606</v>
      </c>
      <c r="F30" s="5">
        <f t="shared" si="2"/>
        <v>145098032.89469728</v>
      </c>
      <c r="G30" s="3">
        <f t="shared" si="3"/>
        <v>-218097.23420829038</v>
      </c>
      <c r="H30" s="3"/>
      <c r="I30" s="18"/>
      <c r="J30" s="10">
        <f t="shared" si="4"/>
        <v>-2221547.7978378939</v>
      </c>
      <c r="K30" s="5"/>
      <c r="P30" s="6"/>
      <c r="Q30" s="7"/>
      <c r="R30" s="3"/>
      <c r="S30" s="5"/>
      <c r="T30" s="5"/>
      <c r="U30" s="3"/>
      <c r="V30" s="3"/>
      <c r="W30" s="5"/>
    </row>
    <row r="31" spans="2:23" x14ac:dyDescent="0.25">
      <c r="B31" s="6" t="s">
        <v>24</v>
      </c>
      <c r="C31" s="7">
        <f t="shared" si="5"/>
        <v>-2003450.5636296037</v>
      </c>
      <c r="D31" s="3">
        <f t="shared" si="0"/>
        <v>1699811.4005955313</v>
      </c>
      <c r="E31" s="5">
        <f t="shared" si="1"/>
        <v>303639.16303407238</v>
      </c>
      <c r="F31" s="5">
        <f t="shared" si="2"/>
        <v>144794393.7316632</v>
      </c>
      <c r="G31" s="3">
        <f t="shared" si="3"/>
        <v>-217647.04934204591</v>
      </c>
      <c r="H31" s="3"/>
      <c r="I31" s="18"/>
      <c r="J31" s="10">
        <f t="shared" si="4"/>
        <v>-2221097.6129716495</v>
      </c>
      <c r="K31" s="5"/>
      <c r="P31" s="6"/>
      <c r="Q31" s="7"/>
      <c r="R31" s="3"/>
      <c r="S31" s="5"/>
      <c r="T31" s="5"/>
      <c r="U31" s="3"/>
      <c r="V31" s="3"/>
      <c r="W31" s="5"/>
    </row>
    <row r="32" spans="2:23" x14ac:dyDescent="0.25">
      <c r="B32" s="6" t="s">
        <v>25</v>
      </c>
      <c r="C32" s="7">
        <f t="shared" si="5"/>
        <v>-2003450.5636296037</v>
      </c>
      <c r="D32" s="3">
        <f t="shared" si="0"/>
        <v>1696254.2930269733</v>
      </c>
      <c r="E32" s="5">
        <f t="shared" si="1"/>
        <v>307196.27060263045</v>
      </c>
      <c r="F32" s="5">
        <f t="shared" si="2"/>
        <v>144487197.46106055</v>
      </c>
      <c r="G32" s="3">
        <f t="shared" si="3"/>
        <v>-217191.5905974948</v>
      </c>
      <c r="H32" s="3"/>
      <c r="I32" s="18"/>
      <c r="J32" s="10">
        <f t="shared" si="4"/>
        <v>-2220642.1542270985</v>
      </c>
      <c r="K32" s="5"/>
      <c r="P32" s="6"/>
      <c r="Q32" s="7"/>
      <c r="R32" s="3"/>
      <c r="S32" s="5"/>
      <c r="T32" s="5"/>
      <c r="U32" s="3"/>
      <c r="V32" s="3"/>
      <c r="W32" s="5"/>
    </row>
    <row r="33" spans="2:23" x14ac:dyDescent="0.25">
      <c r="B33" s="6" t="s">
        <v>26</v>
      </c>
      <c r="C33" s="7">
        <f t="shared" si="5"/>
        <v>-2003450.5636296037</v>
      </c>
      <c r="D33" s="3">
        <f t="shared" si="0"/>
        <v>1692655.5142387745</v>
      </c>
      <c r="E33" s="5">
        <f t="shared" si="1"/>
        <v>310795.04939082917</v>
      </c>
      <c r="F33" s="5">
        <f t="shared" si="2"/>
        <v>144176402.41166973</v>
      </c>
      <c r="G33" s="3">
        <f t="shared" si="3"/>
        <v>-216730.79619159084</v>
      </c>
      <c r="H33" s="3"/>
      <c r="I33" s="18"/>
      <c r="J33" s="10">
        <f t="shared" si="4"/>
        <v>-2220181.3598211948</v>
      </c>
      <c r="K33" s="5"/>
      <c r="P33" s="6"/>
      <c r="Q33" s="7"/>
      <c r="R33" s="3"/>
      <c r="S33" s="5"/>
      <c r="T33" s="5"/>
      <c r="U33" s="3"/>
      <c r="V33" s="3"/>
      <c r="W33" s="5"/>
    </row>
    <row r="34" spans="2:23" x14ac:dyDescent="0.25">
      <c r="B34" s="6" t="s">
        <v>27</v>
      </c>
      <c r="C34" s="7">
        <f t="shared" si="5"/>
        <v>-2003450.5636296037</v>
      </c>
      <c r="D34" s="3">
        <f t="shared" si="0"/>
        <v>1689014.5760560594</v>
      </c>
      <c r="E34" s="5">
        <f t="shared" si="1"/>
        <v>314435.98757354426</v>
      </c>
      <c r="F34" s="5">
        <f t="shared" si="2"/>
        <v>143861966.4240962</v>
      </c>
      <c r="G34" s="3">
        <f t="shared" si="3"/>
        <v>-216264.60361750459</v>
      </c>
      <c r="H34" s="3"/>
      <c r="I34" s="18"/>
      <c r="J34" s="10">
        <f t="shared" si="4"/>
        <v>-2219715.1672471082</v>
      </c>
      <c r="K34" s="5"/>
      <c r="P34" s="6"/>
      <c r="Q34" s="7"/>
      <c r="R34" s="3"/>
      <c r="S34" s="5"/>
      <c r="T34" s="5"/>
      <c r="U34" s="3"/>
      <c r="V34" s="3"/>
      <c r="W34" s="5"/>
    </row>
    <row r="35" spans="2:23" x14ac:dyDescent="0.25">
      <c r="B35" s="6" t="s">
        <v>28</v>
      </c>
      <c r="C35" s="7">
        <f t="shared" si="5"/>
        <v>-2003450.5636296037</v>
      </c>
      <c r="D35" s="3">
        <f t="shared" si="0"/>
        <v>1685330.9845850233</v>
      </c>
      <c r="E35" s="5">
        <f t="shared" si="1"/>
        <v>318119.57904458046</v>
      </c>
      <c r="F35" s="5">
        <f t="shared" si="2"/>
        <v>143543846.84505162</v>
      </c>
      <c r="G35" s="3">
        <f t="shared" si="3"/>
        <v>-215792.9496361443</v>
      </c>
      <c r="H35" s="3"/>
      <c r="I35" s="18"/>
      <c r="J35" s="10">
        <f t="shared" si="4"/>
        <v>-2219243.513265748</v>
      </c>
      <c r="K35" s="5"/>
      <c r="P35" s="6" t="s">
        <v>99</v>
      </c>
      <c r="Q35" s="7"/>
      <c r="R35" s="3"/>
      <c r="S35" s="5"/>
      <c r="T35" s="5"/>
      <c r="U35" s="3"/>
      <c r="V35" s="3"/>
      <c r="W35" s="5"/>
    </row>
    <row r="36" spans="2:23" x14ac:dyDescent="0.25">
      <c r="B36" s="6" t="s">
        <v>29</v>
      </c>
      <c r="C36" s="7">
        <f t="shared" si="5"/>
        <v>-2003450.5636296037</v>
      </c>
      <c r="D36" s="3">
        <f t="shared" si="0"/>
        <v>1681604.2401459373</v>
      </c>
      <c r="E36" s="5">
        <f t="shared" si="1"/>
        <v>321846.32348366641</v>
      </c>
      <c r="F36" s="5">
        <f t="shared" si="2"/>
        <v>143222000.52156794</v>
      </c>
      <c r="G36" s="3">
        <f t="shared" si="3"/>
        <v>-215315.77026757741</v>
      </c>
      <c r="H36" s="3"/>
      <c r="I36" s="18"/>
      <c r="J36" s="10">
        <f t="shared" si="4"/>
        <v>-2218766.3338971813</v>
      </c>
      <c r="K36" s="5">
        <f>+AVERAGE(F24:F35)</f>
        <v>145227699.30666497</v>
      </c>
      <c r="L36" s="5">
        <f>+SUM(J25:J36)</f>
        <v>-26655505.351075213</v>
      </c>
      <c r="M36" s="5">
        <f>+SUM(D25:D36)</f>
        <v>20415965.18206834</v>
      </c>
      <c r="N36" s="5">
        <f>+-SUM(G25:G36)</f>
        <v>2614098.5875199693</v>
      </c>
      <c r="O36" s="5">
        <f>+SUM(E25:E36)</f>
        <v>3625441.5814869022</v>
      </c>
      <c r="P36" s="5">
        <f>+N36+M36</f>
        <v>23030063.76958831</v>
      </c>
      <c r="Q36" s="2">
        <f>+P36/K36</f>
        <v>0.15857900303824055</v>
      </c>
      <c r="R36" s="2">
        <f>+Q36/12</f>
        <v>1.3214916919853379E-2</v>
      </c>
      <c r="S36" s="13">
        <f>+(1+R36)^(12)-1</f>
        <v>0.17062797948925956</v>
      </c>
      <c r="T36" s="5"/>
      <c r="U36" s="3"/>
      <c r="V36" s="3"/>
      <c r="W36" s="5"/>
    </row>
    <row r="37" spans="2:23" x14ac:dyDescent="0.25">
      <c r="B37" s="6" t="s">
        <v>30</v>
      </c>
      <c r="C37" s="7">
        <f t="shared" si="5"/>
        <v>-2003450.5636296037</v>
      </c>
      <c r="D37" s="3">
        <f t="shared" si="0"/>
        <v>1677833.8372053658</v>
      </c>
      <c r="E37" s="5">
        <f t="shared" si="1"/>
        <v>325616.72642423795</v>
      </c>
      <c r="F37" s="5">
        <f t="shared" si="2"/>
        <v>142896383.79514369</v>
      </c>
      <c r="G37" s="3">
        <f t="shared" si="3"/>
        <v>-214833.00078235191</v>
      </c>
      <c r="H37" s="3"/>
      <c r="I37" s="18"/>
      <c r="J37" s="10">
        <f t="shared" si="4"/>
        <v>-2218283.5644119554</v>
      </c>
      <c r="K37" s="5"/>
      <c r="P37" s="6"/>
      <c r="Q37" s="7"/>
      <c r="R37" s="3"/>
      <c r="S37" s="5"/>
      <c r="T37" s="5"/>
      <c r="U37" s="3"/>
      <c r="V37" s="3"/>
      <c r="W37" s="5"/>
    </row>
    <row r="38" spans="2:23" x14ac:dyDescent="0.25">
      <c r="B38" s="6" t="s">
        <v>31</v>
      </c>
      <c r="C38" s="7">
        <f t="shared" si="5"/>
        <v>-2003450.5636296037</v>
      </c>
      <c r="D38" s="3">
        <f t="shared" si="0"/>
        <v>1674019.2643075911</v>
      </c>
      <c r="E38" s="5">
        <f t="shared" si="1"/>
        <v>329431.29932201258</v>
      </c>
      <c r="F38" s="5">
        <f t="shared" si="2"/>
        <v>142566952.49582168</v>
      </c>
      <c r="G38" s="3">
        <f t="shared" si="3"/>
        <v>-214344.57569271553</v>
      </c>
      <c r="H38" s="3"/>
      <c r="I38" s="18"/>
      <c r="J38" s="10">
        <f t="shared" si="4"/>
        <v>-2217795.1393223191</v>
      </c>
      <c r="K38" s="5"/>
      <c r="P38" s="6"/>
      <c r="Q38" s="7"/>
      <c r="R38" s="3"/>
      <c r="S38" s="5"/>
      <c r="T38" s="5"/>
      <c r="U38" s="3"/>
      <c r="V38" s="3"/>
      <c r="W38" s="5"/>
    </row>
    <row r="39" spans="2:23" x14ac:dyDescent="0.25">
      <c r="B39" s="6" t="s">
        <v>32</v>
      </c>
      <c r="C39" s="7">
        <f t="shared" si="5"/>
        <v>-2003450.5636296037</v>
      </c>
      <c r="D39" s="3">
        <f t="shared" si="0"/>
        <v>1670160.0040052345</v>
      </c>
      <c r="E39" s="5">
        <f t="shared" si="1"/>
        <v>333290.55962436926</v>
      </c>
      <c r="F39" s="5">
        <f t="shared" si="2"/>
        <v>142233661.93619731</v>
      </c>
      <c r="G39" s="3">
        <f t="shared" si="3"/>
        <v>-213850.42874373251</v>
      </c>
      <c r="H39" s="3"/>
      <c r="I39" s="18"/>
      <c r="J39" s="10">
        <f t="shared" si="4"/>
        <v>-2217300.9923733361</v>
      </c>
      <c r="K39" s="5"/>
      <c r="P39" s="6"/>
      <c r="Q39" s="7"/>
      <c r="R39" s="3"/>
      <c r="S39" s="5"/>
      <c r="T39" s="5"/>
      <c r="U39" s="3"/>
      <c r="V39" s="3"/>
      <c r="W39" s="5"/>
    </row>
    <row r="40" spans="2:23" x14ac:dyDescent="0.25">
      <c r="B40" s="6" t="s">
        <v>33</v>
      </c>
      <c r="C40" s="7">
        <f t="shared" si="5"/>
        <v>-2003450.5636296037</v>
      </c>
      <c r="D40" s="3">
        <f t="shared" si="0"/>
        <v>1666255.5327890634</v>
      </c>
      <c r="E40" s="5">
        <f t="shared" si="1"/>
        <v>337195.0308405403</v>
      </c>
      <c r="F40" s="5">
        <f t="shared" si="2"/>
        <v>141896466.90535676</v>
      </c>
      <c r="G40" s="3">
        <f t="shared" si="3"/>
        <v>-213350.49290429597</v>
      </c>
      <c r="H40" s="3"/>
      <c r="I40" s="18"/>
      <c r="J40" s="10">
        <f t="shared" si="4"/>
        <v>-2216801.0565338996</v>
      </c>
      <c r="K40" s="5"/>
      <c r="P40" s="6"/>
      <c r="Q40" s="7"/>
      <c r="R40" s="3"/>
      <c r="S40" s="5"/>
      <c r="T40" s="5"/>
      <c r="U40" s="3"/>
      <c r="V40" s="3"/>
      <c r="W40" s="5"/>
    </row>
    <row r="41" spans="2:23" x14ac:dyDescent="0.25">
      <c r="B41" s="6" t="s">
        <v>34</v>
      </c>
      <c r="C41" s="7">
        <f t="shared" si="5"/>
        <v>-2003450.5636296037</v>
      </c>
      <c r="D41" s="3">
        <f t="shared" si="0"/>
        <v>1662305.3210169792</v>
      </c>
      <c r="E41" s="5">
        <f t="shared" si="1"/>
        <v>341145.24261262454</v>
      </c>
      <c r="F41" s="5">
        <f t="shared" si="2"/>
        <v>141555321.66274413</v>
      </c>
      <c r="G41" s="3">
        <f t="shared" si="3"/>
        <v>-212844.70035803513</v>
      </c>
      <c r="H41" s="3"/>
      <c r="I41" s="18"/>
      <c r="J41" s="10">
        <f t="shared" si="4"/>
        <v>-2216295.263987639</v>
      </c>
      <c r="K41" s="5"/>
      <c r="P41" s="6"/>
      <c r="Q41" s="7"/>
      <c r="R41" s="3"/>
      <c r="S41" s="5"/>
      <c r="T41" s="5"/>
      <c r="U41" s="3"/>
      <c r="V41" s="3"/>
      <c r="W41" s="5"/>
    </row>
    <row r="42" spans="2:23" x14ac:dyDescent="0.25">
      <c r="B42" s="6" t="s">
        <v>35</v>
      </c>
      <c r="C42" s="7">
        <f t="shared" si="5"/>
        <v>-2003450.5636296037</v>
      </c>
      <c r="D42" s="3">
        <f t="shared" si="0"/>
        <v>1658308.8328421689</v>
      </c>
      <c r="E42" s="5">
        <f t="shared" si="1"/>
        <v>345141.73078743485</v>
      </c>
      <c r="F42" s="5">
        <f t="shared" si="2"/>
        <v>141210179.93195671</v>
      </c>
      <c r="G42" s="3">
        <f t="shared" si="3"/>
        <v>-212332.98249411624</v>
      </c>
      <c r="H42" s="3"/>
      <c r="I42" s="18"/>
      <c r="J42" s="10">
        <f t="shared" si="4"/>
        <v>-2215783.5461237198</v>
      </c>
      <c r="K42" s="5"/>
      <c r="P42" s="6"/>
      <c r="Q42" s="7"/>
      <c r="R42" s="3"/>
      <c r="S42" s="5"/>
      <c r="T42" s="5"/>
      <c r="U42" s="3"/>
      <c r="V42" s="3"/>
      <c r="W42" s="5"/>
    </row>
    <row r="43" spans="2:23" x14ac:dyDescent="0.25">
      <c r="B43" s="6" t="s">
        <v>36</v>
      </c>
      <c r="C43" s="7">
        <f t="shared" si="5"/>
        <v>-2003450.5636296037</v>
      </c>
      <c r="D43" s="3">
        <f t="shared" si="0"/>
        <v>1654265.5261404198</v>
      </c>
      <c r="E43" s="5">
        <f t="shared" si="1"/>
        <v>349185.03748918395</v>
      </c>
      <c r="F43" s="5">
        <f t="shared" si="2"/>
        <v>140860994.89446753</v>
      </c>
      <c r="G43" s="3">
        <f t="shared" si="3"/>
        <v>-211815.26989793504</v>
      </c>
      <c r="H43" s="3"/>
      <c r="I43" s="18"/>
      <c r="J43" s="10">
        <f t="shared" si="4"/>
        <v>-2215265.8335275389</v>
      </c>
      <c r="K43" s="5"/>
      <c r="P43" s="6"/>
      <c r="Q43" s="7"/>
      <c r="R43" s="3"/>
      <c r="S43" s="5"/>
      <c r="T43" s="5"/>
      <c r="U43" s="3"/>
      <c r="V43" s="3"/>
      <c r="W43" s="5"/>
    </row>
    <row r="44" spans="2:23" x14ac:dyDescent="0.25">
      <c r="B44" s="6" t="s">
        <v>37</v>
      </c>
      <c r="C44" s="7">
        <f t="shared" si="5"/>
        <v>-2003450.5636296037</v>
      </c>
      <c r="D44" s="3">
        <f t="shared" si="0"/>
        <v>1650174.8524365781</v>
      </c>
      <c r="E44" s="5">
        <f t="shared" si="1"/>
        <v>353275.71119302558</v>
      </c>
      <c r="F44" s="5">
        <f t="shared" si="2"/>
        <v>140507719.18327451</v>
      </c>
      <c r="G44" s="3">
        <f t="shared" si="3"/>
        <v>-211291.49234170129</v>
      </c>
      <c r="H44" s="3"/>
      <c r="I44" s="18"/>
      <c r="J44" s="10">
        <f t="shared" si="4"/>
        <v>-2214742.0559713049</v>
      </c>
      <c r="K44" s="5"/>
      <c r="P44" s="6"/>
      <c r="Q44" s="7"/>
      <c r="R44" s="3"/>
      <c r="S44" s="5"/>
      <c r="T44" s="5"/>
      <c r="U44" s="3"/>
      <c r="V44" s="3"/>
      <c r="W44" s="5"/>
    </row>
    <row r="45" spans="2:23" x14ac:dyDescent="0.25">
      <c r="B45" s="6" t="s">
        <v>38</v>
      </c>
      <c r="C45" s="7">
        <f t="shared" si="5"/>
        <v>-2003450.5636296037</v>
      </c>
      <c r="D45" s="3">
        <f t="shared" ref="D45:D76" si="6">+F44*$B$7</f>
        <v>1646036.2568301498</v>
      </c>
      <c r="E45" s="5">
        <f t="shared" si="1"/>
        <v>357414.30679945392</v>
      </c>
      <c r="F45" s="5">
        <f t="shared" si="2"/>
        <v>140150304.87647507</v>
      </c>
      <c r="G45" s="3">
        <f t="shared" ref="G45:G76" si="7">+-F44/1000000*$B$8</f>
        <v>-210761.57877491176</v>
      </c>
      <c r="H45" s="3"/>
      <c r="I45" s="18"/>
      <c r="J45" s="10">
        <f t="shared" si="4"/>
        <v>-2214212.1424045153</v>
      </c>
      <c r="K45" s="5"/>
      <c r="P45" s="6"/>
      <c r="Q45" s="7"/>
      <c r="R45" s="3"/>
      <c r="S45" s="5"/>
      <c r="T45" s="5"/>
      <c r="U45" s="3"/>
      <c r="V45" s="3"/>
      <c r="W45" s="5"/>
    </row>
    <row r="46" spans="2:23" x14ac:dyDescent="0.25">
      <c r="B46" s="6" t="s">
        <v>39</v>
      </c>
      <c r="C46" s="7">
        <f t="shared" si="5"/>
        <v>-2003450.5636296037</v>
      </c>
      <c r="D46" s="3">
        <f t="shared" si="6"/>
        <v>1641849.1779200274</v>
      </c>
      <c r="E46" s="5">
        <f t="shared" si="1"/>
        <v>361601.38570957631</v>
      </c>
      <c r="F46" s="5">
        <f t="shared" si="2"/>
        <v>139788703.49076548</v>
      </c>
      <c r="G46" s="3">
        <f t="shared" si="7"/>
        <v>-210225.45731471261</v>
      </c>
      <c r="H46" s="3"/>
      <c r="I46" s="18"/>
      <c r="J46" s="10">
        <f t="shared" si="4"/>
        <v>-2213676.0209443164</v>
      </c>
      <c r="K46" s="5"/>
      <c r="P46" s="6"/>
      <c r="Q46" s="7"/>
      <c r="R46" s="3"/>
      <c r="S46" s="5"/>
      <c r="T46" s="5"/>
      <c r="U46" s="3"/>
      <c r="V46" s="3"/>
      <c r="W46" s="5"/>
    </row>
    <row r="47" spans="2:23" x14ac:dyDescent="0.25">
      <c r="B47" s="6" t="s">
        <v>40</v>
      </c>
      <c r="C47" s="7">
        <f t="shared" si="5"/>
        <v>-2003450.5636296037</v>
      </c>
      <c r="D47" s="3">
        <f t="shared" si="6"/>
        <v>1637613.0477283357</v>
      </c>
      <c r="E47" s="5">
        <f t="shared" si="1"/>
        <v>365837.51590126799</v>
      </c>
      <c r="F47" s="5">
        <f t="shared" si="2"/>
        <v>139422865.97486421</v>
      </c>
      <c r="G47" s="3">
        <f t="shared" si="7"/>
        <v>-209683.05523614821</v>
      </c>
      <c r="H47" s="3"/>
      <c r="I47" s="18"/>
      <c r="J47" s="10">
        <f t="shared" si="4"/>
        <v>-2213133.6188657521</v>
      </c>
      <c r="K47" s="5"/>
      <c r="P47" s="6" t="s">
        <v>99</v>
      </c>
      <c r="Q47" s="7"/>
      <c r="R47" s="3"/>
      <c r="S47" s="5"/>
      <c r="T47" s="5"/>
      <c r="U47" s="3"/>
      <c r="V47" s="3"/>
      <c r="W47" s="5"/>
    </row>
    <row r="48" spans="2:23" x14ac:dyDescent="0.25">
      <c r="B48" s="6" t="s">
        <v>41</v>
      </c>
      <c r="C48" s="7">
        <f t="shared" si="5"/>
        <v>-2003450.5636296037</v>
      </c>
      <c r="D48" s="3">
        <f t="shared" si="6"/>
        <v>1633327.2916233868</v>
      </c>
      <c r="E48" s="5">
        <f t="shared" si="1"/>
        <v>370123.27200621692</v>
      </c>
      <c r="F48" s="5">
        <f t="shared" si="2"/>
        <v>139052742.702858</v>
      </c>
      <c r="G48" s="3">
        <f t="shared" si="7"/>
        <v>-209134.29896229631</v>
      </c>
      <c r="H48" s="3"/>
      <c r="I48" s="18"/>
      <c r="J48" s="10">
        <f t="shared" si="4"/>
        <v>-2212584.8625918999</v>
      </c>
      <c r="K48" s="5">
        <f>+AVERAGE(F36:F47)</f>
        <v>141359296.30571961</v>
      </c>
      <c r="L48" s="5">
        <f>+SUM(J37:J48)</f>
        <v>-26585874.097058196</v>
      </c>
      <c r="M48" s="5">
        <f>+SUM(D37:D48)</f>
        <v>19872148.9448453</v>
      </c>
      <c r="N48" s="5">
        <f>+-SUM(G37:G48)</f>
        <v>2544467.3335029525</v>
      </c>
      <c r="O48" s="5">
        <f>+SUM(E37:E48)</f>
        <v>4169257.8187099444</v>
      </c>
      <c r="P48" s="5">
        <f>+N48+M48</f>
        <v>22416616.278348252</v>
      </c>
      <c r="Q48" s="2">
        <f>+P48/K48</f>
        <v>0.15857900303824052</v>
      </c>
      <c r="R48" s="2">
        <f>+Q48/12</f>
        <v>1.3214916919853376E-2</v>
      </c>
      <c r="S48" s="13">
        <f>+(1+R48)^(12)-1</f>
        <v>0.17062797948925956</v>
      </c>
      <c r="T48" s="5"/>
      <c r="U48" s="3"/>
      <c r="V48" s="3"/>
      <c r="W48" s="5"/>
    </row>
    <row r="49" spans="2:23" x14ac:dyDescent="0.25">
      <c r="B49" s="6" t="s">
        <v>42</v>
      </c>
      <c r="C49" s="7">
        <f t="shared" si="5"/>
        <v>-2003450.5636296037</v>
      </c>
      <c r="D49" s="3">
        <f t="shared" si="6"/>
        <v>1628991.3282417299</v>
      </c>
      <c r="E49" s="5">
        <f t="shared" si="1"/>
        <v>374459.23538787384</v>
      </c>
      <c r="F49" s="5">
        <f t="shared" si="2"/>
        <v>138678283.46747014</v>
      </c>
      <c r="G49" s="3">
        <f t="shared" si="7"/>
        <v>-208579.11405428703</v>
      </c>
      <c r="H49" s="3"/>
      <c r="I49" s="18"/>
      <c r="J49" s="10">
        <f t="shared" si="4"/>
        <v>-2212029.6776838908</v>
      </c>
      <c r="K49" s="5"/>
      <c r="P49" s="6"/>
      <c r="Q49" s="7"/>
      <c r="R49" s="3"/>
      <c r="S49" s="5"/>
      <c r="T49" s="5"/>
      <c r="U49" s="3"/>
      <c r="V49" s="3"/>
      <c r="W49" s="5"/>
    </row>
    <row r="50" spans="2:23" x14ac:dyDescent="0.25">
      <c r="B50" s="6" t="s">
        <v>43</v>
      </c>
      <c r="C50" s="7">
        <f t="shared" si="5"/>
        <v>-2003450.5636296037</v>
      </c>
      <c r="D50" s="3">
        <f t="shared" si="6"/>
        <v>1624604.5694092892</v>
      </c>
      <c r="E50" s="5">
        <f t="shared" si="1"/>
        <v>378845.99422031455</v>
      </c>
      <c r="F50" s="5">
        <f t="shared" si="2"/>
        <v>138299437.47324982</v>
      </c>
      <c r="G50" s="3">
        <f t="shared" si="7"/>
        <v>-208017.42520120522</v>
      </c>
      <c r="H50" s="3"/>
      <c r="I50" s="18"/>
      <c r="J50" s="10">
        <f t="shared" si="4"/>
        <v>-2211467.988830809</v>
      </c>
      <c r="K50" s="5"/>
      <c r="P50" s="6"/>
      <c r="Q50" s="7"/>
      <c r="R50" s="3"/>
      <c r="S50" s="5"/>
      <c r="T50" s="5"/>
      <c r="U50" s="3"/>
      <c r="V50" s="3"/>
      <c r="W50" s="5"/>
    </row>
    <row r="51" spans="2:23" x14ac:dyDescent="0.25">
      <c r="B51" s="6" t="s">
        <v>44</v>
      </c>
      <c r="C51" s="7">
        <f t="shared" si="5"/>
        <v>-2003450.5636296037</v>
      </c>
      <c r="D51" s="3">
        <f t="shared" si="6"/>
        <v>1620166.420061579</v>
      </c>
      <c r="E51" s="5">
        <f t="shared" si="1"/>
        <v>383284.14356802474</v>
      </c>
      <c r="F51" s="5">
        <f t="shared" si="2"/>
        <v>137916153.32968178</v>
      </c>
      <c r="G51" s="3">
        <f t="shared" si="7"/>
        <v>-207449.15620987472</v>
      </c>
      <c r="H51" s="3"/>
      <c r="I51" s="18"/>
      <c r="J51" s="10">
        <f t="shared" si="4"/>
        <v>-2210899.7198394784</v>
      </c>
      <c r="K51" s="5"/>
      <c r="P51" s="6"/>
      <c r="Q51" s="7"/>
      <c r="R51" s="3"/>
      <c r="S51" s="5"/>
      <c r="T51" s="5"/>
      <c r="U51" s="3"/>
      <c r="V51" s="3"/>
      <c r="W51" s="5"/>
    </row>
    <row r="52" spans="2:23" x14ac:dyDescent="0.25">
      <c r="B52" s="6" t="s">
        <v>45</v>
      </c>
      <c r="C52" s="7">
        <f t="shared" si="5"/>
        <v>-2003450.5636296037</v>
      </c>
      <c r="D52" s="3">
        <f t="shared" si="6"/>
        <v>1615676.2781629821</v>
      </c>
      <c r="E52" s="5">
        <f t="shared" si="1"/>
        <v>387774.28546662163</v>
      </c>
      <c r="F52" s="5">
        <f t="shared" si="2"/>
        <v>137528379.04421517</v>
      </c>
      <c r="G52" s="3">
        <f t="shared" si="7"/>
        <v>-206874.22999452267</v>
      </c>
      <c r="H52" s="3"/>
      <c r="I52" s="18"/>
      <c r="J52" s="10">
        <f t="shared" si="4"/>
        <v>-2210324.7936241264</v>
      </c>
      <c r="K52" s="5"/>
      <c r="P52" s="6"/>
      <c r="Q52" s="7"/>
      <c r="R52" s="3"/>
      <c r="S52" s="5"/>
      <c r="T52" s="5"/>
      <c r="U52" s="3"/>
      <c r="V52" s="3"/>
      <c r="W52" s="5"/>
    </row>
    <row r="53" spans="2:23" x14ac:dyDescent="0.25">
      <c r="B53" s="6" t="s">
        <v>46</v>
      </c>
      <c r="C53" s="7">
        <f t="shared" si="5"/>
        <v>-2003450.5636296037</v>
      </c>
      <c r="D53" s="3">
        <f t="shared" si="6"/>
        <v>1611133.5346250853</v>
      </c>
      <c r="E53" s="5">
        <f t="shared" si="1"/>
        <v>392317.02900451841</v>
      </c>
      <c r="F53" s="5">
        <f t="shared" si="2"/>
        <v>137136062.01521066</v>
      </c>
      <c r="G53" s="3">
        <f t="shared" si="7"/>
        <v>-206292.56856632276</v>
      </c>
      <c r="H53" s="3"/>
      <c r="I53" s="18"/>
      <c r="J53" s="10">
        <f t="shared" si="4"/>
        <v>-2209743.1321959263</v>
      </c>
      <c r="K53" s="5"/>
      <c r="P53" s="6"/>
      <c r="Q53" s="7"/>
      <c r="R53" s="3"/>
      <c r="S53" s="5"/>
      <c r="T53" s="5"/>
      <c r="U53" s="3"/>
      <c r="V53" s="3"/>
      <c r="W53" s="5"/>
    </row>
    <row r="54" spans="2:23" x14ac:dyDescent="0.25">
      <c r="B54" s="6" t="s">
        <v>47</v>
      </c>
      <c r="C54" s="7">
        <f t="shared" si="5"/>
        <v>-2003450.5636296037</v>
      </c>
      <c r="D54" s="3">
        <f t="shared" si="6"/>
        <v>1606537.5732240537</v>
      </c>
      <c r="E54" s="5">
        <f t="shared" si="1"/>
        <v>396912.99040554999</v>
      </c>
      <c r="F54" s="5">
        <f t="shared" si="2"/>
        <v>136739149.0248051</v>
      </c>
      <c r="G54" s="3">
        <f t="shared" si="7"/>
        <v>-205704.09302281597</v>
      </c>
      <c r="H54" s="3"/>
      <c r="I54" s="18"/>
      <c r="J54" s="10">
        <f t="shared" si="4"/>
        <v>-2209154.6566524198</v>
      </c>
      <c r="K54" s="5"/>
      <c r="P54" s="6"/>
      <c r="Q54" s="7"/>
      <c r="R54" s="3"/>
      <c r="S54" s="5"/>
      <c r="T54" s="5"/>
      <c r="U54" s="3"/>
      <c r="V54" s="3"/>
      <c r="W54" s="5"/>
    </row>
    <row r="55" spans="2:23" x14ac:dyDescent="0.25">
      <c r="B55" s="6" t="s">
        <v>48</v>
      </c>
      <c r="C55" s="7">
        <f t="shared" si="5"/>
        <v>-2003450.5636296037</v>
      </c>
      <c r="D55" s="3">
        <f t="shared" si="6"/>
        <v>1601887.7705170421</v>
      </c>
      <c r="E55" s="5">
        <f t="shared" si="1"/>
        <v>401562.79311256157</v>
      </c>
      <c r="F55" s="5">
        <f t="shared" si="2"/>
        <v>136337586.23169252</v>
      </c>
      <c r="G55" s="3">
        <f t="shared" si="7"/>
        <v>-205108.72353720764</v>
      </c>
      <c r="H55" s="3"/>
      <c r="I55" s="18"/>
      <c r="J55" s="10">
        <f t="shared" si="4"/>
        <v>-2208559.2871668115</v>
      </c>
      <c r="K55" s="5"/>
      <c r="P55" s="6"/>
      <c r="Q55" s="7"/>
      <c r="R55" s="3"/>
      <c r="S55" s="5"/>
      <c r="T55" s="5"/>
      <c r="U55" s="3"/>
      <c r="V55" s="3"/>
      <c r="W55" s="5"/>
    </row>
    <row r="56" spans="2:23" x14ac:dyDescent="0.25">
      <c r="B56" s="6" t="s">
        <v>49</v>
      </c>
      <c r="C56" s="7">
        <f t="shared" si="5"/>
        <v>-2003450.5636296037</v>
      </c>
      <c r="D56" s="3">
        <f t="shared" si="6"/>
        <v>1597183.495757624</v>
      </c>
      <c r="E56" s="5">
        <f t="shared" si="1"/>
        <v>406267.06787197967</v>
      </c>
      <c r="F56" s="5">
        <f t="shared" si="2"/>
        <v>135931319.16382053</v>
      </c>
      <c r="G56" s="3">
        <f t="shared" si="7"/>
        <v>-204506.37934753878</v>
      </c>
      <c r="H56" s="3"/>
      <c r="I56" s="18"/>
      <c r="J56" s="10">
        <f t="shared" si="4"/>
        <v>-2207956.9429771425</v>
      </c>
      <c r="K56" s="5"/>
      <c r="P56" s="6"/>
      <c r="Q56" s="7"/>
      <c r="R56" s="3"/>
      <c r="S56" s="5"/>
      <c r="T56" s="5"/>
      <c r="U56" s="3"/>
      <c r="V56" s="3"/>
      <c r="W56" s="5"/>
    </row>
    <row r="57" spans="2:23" x14ac:dyDescent="0.25">
      <c r="B57" s="6" t="s">
        <v>50</v>
      </c>
      <c r="C57" s="7">
        <f t="shared" si="5"/>
        <v>-2003450.5636296037</v>
      </c>
      <c r="D57" s="3">
        <f t="shared" si="6"/>
        <v>1592424.1108102312</v>
      </c>
      <c r="E57" s="5">
        <f t="shared" si="1"/>
        <v>411026.45281937253</v>
      </c>
      <c r="F57" s="5">
        <f t="shared" si="2"/>
        <v>135520292.71100116</v>
      </c>
      <c r="G57" s="3">
        <f t="shared" si="7"/>
        <v>-203896.97874573083</v>
      </c>
      <c r="H57" s="3"/>
      <c r="I57" s="18"/>
      <c r="J57" s="10">
        <f t="shared" si="4"/>
        <v>-2207347.5423753345</v>
      </c>
      <c r="K57" s="5"/>
      <c r="P57" s="6"/>
      <c r="Q57" s="7"/>
      <c r="R57" s="3"/>
      <c r="S57" s="5"/>
      <c r="T57" s="5"/>
      <c r="U57" s="3"/>
      <c r="V57" s="3"/>
      <c r="W57" s="5"/>
    </row>
    <row r="58" spans="2:23" x14ac:dyDescent="0.25">
      <c r="B58" s="6" t="s">
        <v>51</v>
      </c>
      <c r="C58" s="7">
        <f t="shared" si="5"/>
        <v>-2003450.5636296037</v>
      </c>
      <c r="D58" s="3">
        <f t="shared" si="6"/>
        <v>1587608.9700635902</v>
      </c>
      <c r="E58" s="5">
        <f t="shared" si="1"/>
        <v>415841.5935660135</v>
      </c>
      <c r="F58" s="5">
        <f t="shared" si="2"/>
        <v>135104451.11743516</v>
      </c>
      <c r="G58" s="3">
        <f t="shared" si="7"/>
        <v>-203280.43906650174</v>
      </c>
      <c r="H58" s="3"/>
      <c r="I58" s="18"/>
      <c r="J58" s="10">
        <f t="shared" si="4"/>
        <v>-2206731.0026961053</v>
      </c>
      <c r="K58" s="5"/>
      <c r="P58" s="6"/>
      <c r="Q58" s="7"/>
      <c r="R58" s="3"/>
      <c r="S58" s="5"/>
      <c r="T58" s="5"/>
      <c r="U58" s="3"/>
      <c r="V58" s="3"/>
      <c r="W58" s="5"/>
    </row>
    <row r="59" spans="2:23" x14ac:dyDescent="0.25">
      <c r="B59" s="6" t="s">
        <v>52</v>
      </c>
      <c r="C59" s="7">
        <f t="shared" si="5"/>
        <v>-2003450.5636296037</v>
      </c>
      <c r="D59" s="3">
        <f t="shared" si="6"/>
        <v>1582737.420343145</v>
      </c>
      <c r="E59" s="5">
        <f t="shared" si="1"/>
        <v>420713.14328645868</v>
      </c>
      <c r="F59" s="5">
        <f t="shared" si="2"/>
        <v>134683737.97414869</v>
      </c>
      <c r="G59" s="3">
        <f t="shared" si="7"/>
        <v>-202656.67667615274</v>
      </c>
      <c r="H59" s="3"/>
      <c r="I59" s="18"/>
      <c r="J59" s="10">
        <f t="shared" si="4"/>
        <v>-2206107.2403057562</v>
      </c>
      <c r="K59" s="5"/>
      <c r="P59" s="6" t="s">
        <v>99</v>
      </c>
      <c r="Q59" s="7"/>
      <c r="R59" s="3"/>
      <c r="S59" s="5"/>
      <c r="T59" s="5"/>
      <c r="U59" s="3"/>
      <c r="V59" s="3"/>
      <c r="W59" s="5"/>
    </row>
    <row r="60" spans="2:23" x14ac:dyDescent="0.25">
      <c r="B60" s="6" t="s">
        <v>53</v>
      </c>
      <c r="C60" s="7">
        <f t="shared" si="5"/>
        <v>-2003450.5636296037</v>
      </c>
      <c r="D60" s="3">
        <f t="shared" si="6"/>
        <v>1577808.8008224536</v>
      </c>
      <c r="E60" s="5">
        <f t="shared" si="1"/>
        <v>425641.76280715014</v>
      </c>
      <c r="F60" s="5">
        <f t="shared" si="2"/>
        <v>134258096.21134153</v>
      </c>
      <c r="G60" s="3">
        <f t="shared" si="7"/>
        <v>-202025.60696122303</v>
      </c>
      <c r="H60" s="3"/>
      <c r="I60" s="18"/>
      <c r="J60" s="10">
        <f t="shared" si="4"/>
        <v>-2205476.1705908268</v>
      </c>
      <c r="K60" s="5">
        <f>+AVERAGE(F48:F59)</f>
        <v>136910632.85463241</v>
      </c>
      <c r="L60" s="5">
        <f>+SUM(J49:J60)</f>
        <v>-26505798.154938623</v>
      </c>
      <c r="M60" s="5">
        <f>+SUM(D49:D60)</f>
        <v>19246760.272038803</v>
      </c>
      <c r="N60" s="5">
        <f>+-SUM(G49:G60)</f>
        <v>2464391.391383383</v>
      </c>
      <c r="O60" s="5">
        <f>+SUM(E49:E60)</f>
        <v>4794646.4915164402</v>
      </c>
      <c r="P60" s="5">
        <f>+N60+M60</f>
        <v>21711151.663422186</v>
      </c>
      <c r="Q60" s="2">
        <f>+P60/K60</f>
        <v>0.15857900303824052</v>
      </c>
      <c r="R60" s="2">
        <f>+Q60/12</f>
        <v>1.3214916919853376E-2</v>
      </c>
      <c r="S60" s="13">
        <f>+(1+R60)^(12)-1</f>
        <v>0.17062797948925956</v>
      </c>
      <c r="T60" s="5"/>
      <c r="U60" s="3"/>
      <c r="V60" s="3"/>
      <c r="W60" s="5"/>
    </row>
    <row r="61" spans="2:23" x14ac:dyDescent="0.25">
      <c r="B61" s="6" t="s">
        <v>54</v>
      </c>
      <c r="C61" s="7">
        <f t="shared" si="5"/>
        <v>-2003450.5636296037</v>
      </c>
      <c r="D61" s="3">
        <f t="shared" si="6"/>
        <v>1572822.4429335478</v>
      </c>
      <c r="E61" s="5">
        <f t="shared" si="1"/>
        <v>430628.12069605594</v>
      </c>
      <c r="F61" s="5">
        <f t="shared" si="2"/>
        <v>133827468.09064548</v>
      </c>
      <c r="G61" s="3">
        <f t="shared" si="7"/>
        <v>-201387.14431701228</v>
      </c>
      <c r="H61" s="3"/>
      <c r="I61" s="18"/>
      <c r="J61" s="10">
        <f t="shared" si="4"/>
        <v>-2204837.7079466162</v>
      </c>
      <c r="K61" s="5"/>
      <c r="P61" s="6"/>
      <c r="Q61" s="7"/>
      <c r="R61" s="3"/>
      <c r="S61" s="5"/>
      <c r="T61" s="5"/>
      <c r="U61" s="3"/>
      <c r="V61" s="3"/>
      <c r="W61" s="5"/>
    </row>
    <row r="62" spans="2:23" x14ac:dyDescent="0.25">
      <c r="B62" s="6" t="s">
        <v>55</v>
      </c>
      <c r="C62" s="7">
        <f t="shared" si="5"/>
        <v>-2003450.5636296037</v>
      </c>
      <c r="D62" s="3">
        <f t="shared" si="6"/>
        <v>1567777.6702762409</v>
      </c>
      <c r="E62" s="5">
        <f t="shared" si="1"/>
        <v>435672.8933533628</v>
      </c>
      <c r="F62" s="5">
        <f t="shared" si="2"/>
        <v>133391795.19729212</v>
      </c>
      <c r="G62" s="3">
        <f t="shared" si="7"/>
        <v>-200741.20213596823</v>
      </c>
      <c r="H62" s="3"/>
      <c r="I62" s="18"/>
      <c r="J62" s="10">
        <f t="shared" si="4"/>
        <v>-2204191.765765572</v>
      </c>
      <c r="K62" s="5"/>
      <c r="P62" s="6"/>
      <c r="Q62" s="7"/>
      <c r="R62" s="3"/>
      <c r="S62" s="5"/>
      <c r="T62" s="5"/>
      <c r="U62" s="3"/>
      <c r="V62" s="3"/>
      <c r="W62" s="5"/>
    </row>
    <row r="63" spans="2:23" x14ac:dyDescent="0.25">
      <c r="B63" s="6" t="s">
        <v>56</v>
      </c>
      <c r="C63" s="7">
        <f t="shared" si="5"/>
        <v>-2003450.5636296037</v>
      </c>
      <c r="D63" s="3">
        <f t="shared" si="6"/>
        <v>1562673.7985263742</v>
      </c>
      <c r="E63" s="5">
        <f t="shared" si="1"/>
        <v>440776.76510322955</v>
      </c>
      <c r="F63" s="5">
        <f t="shared" si="2"/>
        <v>132951018.43218888</v>
      </c>
      <c r="G63" s="3">
        <f t="shared" si="7"/>
        <v>-200087.69279593817</v>
      </c>
      <c r="H63" s="3"/>
      <c r="I63" s="18"/>
      <c r="J63" s="10">
        <f t="shared" si="4"/>
        <v>-2203538.2564255418</v>
      </c>
      <c r="K63" s="5"/>
      <c r="P63" s="6"/>
      <c r="Q63" s="7"/>
      <c r="R63" s="3"/>
      <c r="S63" s="5"/>
      <c r="T63" s="5"/>
      <c r="U63" s="3"/>
      <c r="V63" s="3"/>
      <c r="W63" s="5"/>
    </row>
    <row r="64" spans="2:23" x14ac:dyDescent="0.25">
      <c r="B64" s="6" t="s">
        <v>57</v>
      </c>
      <c r="C64" s="7">
        <f t="shared" si="5"/>
        <v>-2003450.5636296037</v>
      </c>
      <c r="D64" s="3">
        <f t="shared" si="6"/>
        <v>1557510.1353429882</v>
      </c>
      <c r="E64" s="5">
        <f t="shared" si="1"/>
        <v>445940.42828661553</v>
      </c>
      <c r="F64" s="5">
        <f t="shared" si="2"/>
        <v>132505078.00390227</v>
      </c>
      <c r="G64" s="3">
        <f t="shared" si="7"/>
        <v>-199426.52764828331</v>
      </c>
      <c r="H64" s="3"/>
      <c r="I64" s="18"/>
      <c r="J64" s="10">
        <f t="shared" si="4"/>
        <v>-2202877.0912778871</v>
      </c>
      <c r="K64" s="5"/>
      <c r="P64" s="6"/>
      <c r="Q64" s="7"/>
      <c r="R64" s="3"/>
      <c r="S64" s="5"/>
      <c r="T64" s="5"/>
      <c r="U64" s="3"/>
      <c r="V64" s="3"/>
      <c r="W64" s="5"/>
    </row>
    <row r="65" spans="2:23" x14ac:dyDescent="0.25">
      <c r="B65" s="6" t="s">
        <v>58</v>
      </c>
      <c r="C65" s="7">
        <f t="shared" si="5"/>
        <v>-2003450.5636296037</v>
      </c>
      <c r="D65" s="3">
        <f t="shared" si="6"/>
        <v>1552285.9802744067</v>
      </c>
      <c r="E65" s="5">
        <f t="shared" si="1"/>
        <v>451164.58335519698</v>
      </c>
      <c r="F65" s="5">
        <f t="shared" si="2"/>
        <v>132053913.42054707</v>
      </c>
      <c r="G65" s="3">
        <f t="shared" si="7"/>
        <v>-198757.61700585342</v>
      </c>
      <c r="H65" s="3"/>
      <c r="I65" s="18"/>
      <c r="J65" s="10">
        <f t="shared" si="4"/>
        <v>-2202208.1806354569</v>
      </c>
      <c r="K65" s="5"/>
      <c r="P65" s="6"/>
      <c r="Q65" s="7"/>
      <c r="R65" s="3"/>
      <c r="S65" s="5"/>
      <c r="T65" s="5"/>
      <c r="U65" s="3"/>
      <c r="V65" s="3"/>
      <c r="W65" s="5"/>
    </row>
    <row r="66" spans="2:23" x14ac:dyDescent="0.25">
      <c r="B66" s="6" t="s">
        <v>59</v>
      </c>
      <c r="C66" s="7">
        <f t="shared" si="5"/>
        <v>-2003450.5636296037</v>
      </c>
      <c r="D66" s="3">
        <f t="shared" si="6"/>
        <v>1547000.6246632203</v>
      </c>
      <c r="E66" s="5">
        <f t="shared" si="1"/>
        <v>456449.93896638346</v>
      </c>
      <c r="F66" s="5">
        <f t="shared" si="2"/>
        <v>131597463.48158069</v>
      </c>
      <c r="G66" s="3">
        <f t="shared" si="7"/>
        <v>-198080.87013082061</v>
      </c>
      <c r="H66" s="3"/>
      <c r="I66" s="18"/>
      <c r="J66" s="10">
        <f t="shared" si="4"/>
        <v>-2201531.4337604241</v>
      </c>
      <c r="K66" s="5"/>
      <c r="P66" s="6"/>
      <c r="Q66" s="7"/>
      <c r="R66" s="3"/>
      <c r="S66" s="5"/>
      <c r="T66" s="5"/>
      <c r="U66" s="3"/>
      <c r="V66" s="3"/>
      <c r="W66" s="5"/>
    </row>
    <row r="67" spans="2:23" x14ac:dyDescent="0.25">
      <c r="B67" s="6" t="s">
        <v>60</v>
      </c>
      <c r="C67" s="7">
        <f t="shared" si="5"/>
        <v>-2003450.5636296037</v>
      </c>
      <c r="D67" s="3">
        <f t="shared" si="6"/>
        <v>1541653.3515501569</v>
      </c>
      <c r="E67" s="5">
        <f t="shared" si="1"/>
        <v>461797.21207944676</v>
      </c>
      <c r="F67" s="5">
        <f t="shared" si="2"/>
        <v>131135666.26950124</v>
      </c>
      <c r="G67" s="3">
        <f t="shared" si="7"/>
        <v>-197396.19522237103</v>
      </c>
      <c r="H67" s="3"/>
      <c r="I67" s="18"/>
      <c r="J67" s="10">
        <f t="shared" si="4"/>
        <v>-2200846.7588519747</v>
      </c>
      <c r="K67" s="5"/>
      <c r="P67" s="6"/>
      <c r="Q67" s="7"/>
      <c r="R67" s="3"/>
      <c r="S67" s="5"/>
      <c r="T67" s="5"/>
      <c r="U67" s="3"/>
      <c r="V67" s="3"/>
      <c r="W67" s="5"/>
    </row>
    <row r="68" spans="2:23" x14ac:dyDescent="0.25">
      <c r="B68" s="6" t="s">
        <v>61</v>
      </c>
      <c r="C68" s="7">
        <f t="shared" si="5"/>
        <v>-2003450.5636296037</v>
      </c>
      <c r="D68" s="3">
        <f t="shared" si="6"/>
        <v>1536243.4355768261</v>
      </c>
      <c r="E68" s="5">
        <f t="shared" si="1"/>
        <v>467207.12805277761</v>
      </c>
      <c r="F68" s="5">
        <f t="shared" si="2"/>
        <v>130668459.14144847</v>
      </c>
      <c r="G68" s="3">
        <f t="shared" si="7"/>
        <v>-196703.49940425184</v>
      </c>
      <c r="H68" s="3"/>
      <c r="I68" s="18"/>
      <c r="J68" s="10">
        <f t="shared" si="4"/>
        <v>-2200154.0630338555</v>
      </c>
      <c r="K68" s="5"/>
      <c r="P68" s="6"/>
      <c r="Q68" s="7"/>
      <c r="R68" s="3"/>
      <c r="S68" s="5"/>
      <c r="T68" s="5"/>
      <c r="U68" s="3"/>
      <c r="V68" s="3"/>
      <c r="W68" s="5"/>
    </row>
    <row r="69" spans="2:23" x14ac:dyDescent="0.25">
      <c r="B69" s="6" t="s">
        <v>62</v>
      </c>
      <c r="C69" s="7">
        <f t="shared" si="5"/>
        <v>-2003450.5636296037</v>
      </c>
      <c r="D69" s="3">
        <f t="shared" si="6"/>
        <v>1530770.1428873248</v>
      </c>
      <c r="E69" s="5">
        <f t="shared" si="1"/>
        <v>472680.42074227892</v>
      </c>
      <c r="F69" s="5">
        <f t="shared" si="2"/>
        <v>130195778.72070619</v>
      </c>
      <c r="G69" s="3">
        <f t="shared" si="7"/>
        <v>-196002.6887121727</v>
      </c>
      <c r="H69" s="3"/>
      <c r="I69" s="18"/>
      <c r="J69" s="10">
        <f t="shared" si="4"/>
        <v>-2199453.2523417766</v>
      </c>
      <c r="K69" s="5"/>
      <c r="P69" s="6"/>
      <c r="Q69" s="7"/>
      <c r="R69" s="3"/>
      <c r="S69" s="5"/>
      <c r="T69" s="5"/>
      <c r="U69" s="3"/>
      <c r="V69" s="3"/>
      <c r="W69" s="5"/>
    </row>
    <row r="70" spans="2:23" x14ac:dyDescent="0.25">
      <c r="B70" s="6" t="s">
        <v>63</v>
      </c>
      <c r="C70" s="7">
        <f t="shared" si="5"/>
        <v>-2003450.5636296037</v>
      </c>
      <c r="D70" s="3">
        <f t="shared" si="6"/>
        <v>1525232.7310286877</v>
      </c>
      <c r="E70" s="5">
        <f t="shared" si="1"/>
        <v>478217.83260091604</v>
      </c>
      <c r="F70" s="5">
        <f t="shared" si="2"/>
        <v>129717560.88810527</v>
      </c>
      <c r="G70" s="3">
        <f t="shared" si="7"/>
        <v>-195293.66808105927</v>
      </c>
      <c r="H70" s="3"/>
      <c r="I70" s="18"/>
      <c r="J70" s="10">
        <f t="shared" si="4"/>
        <v>-2198744.2317106631</v>
      </c>
      <c r="K70" s="5"/>
      <c r="P70" s="6"/>
      <c r="Q70" s="7"/>
      <c r="R70" s="3"/>
      <c r="S70" s="5"/>
      <c r="T70" s="5"/>
      <c r="U70" s="3"/>
      <c r="V70" s="3"/>
      <c r="W70" s="5"/>
    </row>
    <row r="71" spans="2:23" x14ac:dyDescent="0.25">
      <c r="B71" s="6" t="s">
        <v>64</v>
      </c>
      <c r="C71" s="7">
        <f t="shared" si="5"/>
        <v>-2003450.5636296037</v>
      </c>
      <c r="D71" s="3">
        <f t="shared" si="6"/>
        <v>1519630.4488501754</v>
      </c>
      <c r="E71" s="5">
        <f t="shared" si="1"/>
        <v>483820.11477942835</v>
      </c>
      <c r="F71" s="5">
        <f t="shared" si="2"/>
        <v>129233740.77332585</v>
      </c>
      <c r="G71" s="3">
        <f t="shared" si="7"/>
        <v>-194576.34133215793</v>
      </c>
      <c r="H71" s="3"/>
      <c r="I71" s="18"/>
      <c r="J71" s="10">
        <f t="shared" si="4"/>
        <v>-2198026.9049617616</v>
      </c>
      <c r="K71" s="5"/>
      <c r="P71" s="6"/>
      <c r="Q71" s="7"/>
      <c r="R71" s="3"/>
      <c r="S71" s="5"/>
      <c r="T71" s="5"/>
      <c r="U71" s="3"/>
      <c r="V71" s="3"/>
      <c r="W71" s="5"/>
    </row>
    <row r="72" spans="2:23" x14ac:dyDescent="0.25">
      <c r="B72" s="6" t="s">
        <v>65</v>
      </c>
      <c r="C72" s="7">
        <f t="shared" si="5"/>
        <v>-2003450.5636296037</v>
      </c>
      <c r="D72" s="3">
        <f t="shared" si="6"/>
        <v>1513962.5364013806</v>
      </c>
      <c r="E72" s="5">
        <f t="shared" si="1"/>
        <v>489488.02722822316</v>
      </c>
      <c r="F72" s="5">
        <f t="shared" si="2"/>
        <v>128744252.74609762</v>
      </c>
      <c r="G72" s="3">
        <f t="shared" si="7"/>
        <v>-193850.61115998877</v>
      </c>
      <c r="H72" s="3"/>
      <c r="I72" s="18"/>
      <c r="J72" s="10">
        <f t="shared" si="4"/>
        <v>-2197301.1747895926</v>
      </c>
      <c r="K72" s="5"/>
      <c r="P72" s="6"/>
      <c r="Q72" s="7"/>
      <c r="R72" s="3"/>
      <c r="S72" s="5"/>
      <c r="T72" s="5"/>
      <c r="U72" s="3"/>
      <c r="V72" s="3"/>
      <c r="W72" s="5"/>
    </row>
    <row r="73" spans="2:23" x14ac:dyDescent="0.25">
      <c r="B73" s="6" t="s">
        <v>66</v>
      </c>
      <c r="C73" s="7">
        <f t="shared" si="5"/>
        <v>-2003450.5636296037</v>
      </c>
      <c r="D73" s="3">
        <f t="shared" si="6"/>
        <v>1508228.224829139</v>
      </c>
      <c r="E73" s="5">
        <f t="shared" si="1"/>
        <v>495222.33880046476</v>
      </c>
      <c r="F73" s="5">
        <f t="shared" si="2"/>
        <v>128249030.40729716</v>
      </c>
      <c r="G73" s="3">
        <f t="shared" si="7"/>
        <v>-193116.37911914644</v>
      </c>
      <c r="H73" s="3"/>
      <c r="I73" s="18"/>
      <c r="J73" s="10">
        <f t="shared" si="4"/>
        <v>-2196566.9427487501</v>
      </c>
      <c r="K73" s="5"/>
      <c r="P73" s="6"/>
      <c r="Q73" s="7"/>
      <c r="R73" s="3"/>
      <c r="S73" s="5"/>
      <c r="T73" s="5"/>
      <c r="U73" s="3"/>
      <c r="V73" s="3"/>
      <c r="W73" s="5"/>
    </row>
    <row r="74" spans="2:23" x14ac:dyDescent="0.25">
      <c r="B74" s="6" t="s">
        <v>67</v>
      </c>
      <c r="C74" s="7">
        <f t="shared" si="5"/>
        <v>-2003450.5636296037</v>
      </c>
      <c r="D74" s="3">
        <f t="shared" si="6"/>
        <v>1502426.7362732361</v>
      </c>
      <c r="E74" s="5">
        <f t="shared" si="1"/>
        <v>501023.8273563676</v>
      </c>
      <c r="F74" s="5">
        <f t="shared" si="2"/>
        <v>127748006.5799408</v>
      </c>
      <c r="G74" s="3">
        <f t="shared" si="7"/>
        <v>-192373.54561094576</v>
      </c>
      <c r="H74" s="3"/>
      <c r="I74" s="18"/>
      <c r="J74" s="10">
        <f t="shared" si="4"/>
        <v>-2195824.1092405496</v>
      </c>
      <c r="K74" s="5"/>
      <c r="P74" s="6"/>
      <c r="Q74" s="7"/>
      <c r="R74" s="3"/>
      <c r="S74" s="5"/>
      <c r="T74" s="5"/>
      <c r="U74" s="3"/>
      <c r="V74" s="3"/>
      <c r="W74" s="5"/>
    </row>
    <row r="75" spans="2:23" x14ac:dyDescent="0.25">
      <c r="B75" s="6" t="s">
        <v>68</v>
      </c>
      <c r="C75" s="7">
        <f t="shared" si="5"/>
        <v>-2003450.5636296037</v>
      </c>
      <c r="D75" s="3">
        <f t="shared" si="6"/>
        <v>1496557.2837608894</v>
      </c>
      <c r="E75" s="5">
        <f t="shared" si="1"/>
        <v>506893.27986871428</v>
      </c>
      <c r="F75" s="5">
        <f t="shared" si="2"/>
        <v>127241113.30007209</v>
      </c>
      <c r="G75" s="3">
        <f t="shared" si="7"/>
        <v>-191622.00986991118</v>
      </c>
      <c r="H75" s="3"/>
      <c r="I75" s="18"/>
      <c r="J75" s="10">
        <f t="shared" si="4"/>
        <v>-2195072.5734995147</v>
      </c>
      <c r="K75" s="5"/>
      <c r="P75" s="6"/>
      <c r="Q75" s="7"/>
      <c r="R75" s="3"/>
      <c r="S75" s="5"/>
      <c r="T75" s="5"/>
      <c r="U75" s="3"/>
      <c r="V75" s="3"/>
      <c r="W75" s="5"/>
    </row>
    <row r="76" spans="2:23" x14ac:dyDescent="0.25">
      <c r="B76" s="6" t="s">
        <v>69</v>
      </c>
      <c r="C76" s="7">
        <f t="shared" si="5"/>
        <v>-2003450.5636296037</v>
      </c>
      <c r="D76" s="3">
        <f t="shared" si="6"/>
        <v>1490619.0710999954</v>
      </c>
      <c r="E76" s="5">
        <f t="shared" si="1"/>
        <v>512831.49252960831</v>
      </c>
      <c r="F76" s="5">
        <f t="shared" si="2"/>
        <v>126728281.80754247</v>
      </c>
      <c r="G76" s="3">
        <f t="shared" si="7"/>
        <v>-190861.66995010813</v>
      </c>
      <c r="H76" s="3"/>
      <c r="I76" s="18"/>
      <c r="J76" s="10">
        <f t="shared" si="4"/>
        <v>-2194312.233579712</v>
      </c>
      <c r="K76" s="5"/>
      <c r="P76" s="6"/>
      <c r="Q76" s="7"/>
      <c r="R76" s="3"/>
      <c r="S76" s="5"/>
      <c r="T76" s="5"/>
      <c r="U76" s="3"/>
      <c r="V76" s="3"/>
      <c r="W76" s="5"/>
    </row>
    <row r="77" spans="2:23" x14ac:dyDescent="0.25">
      <c r="B77" s="6" t="s">
        <v>70</v>
      </c>
      <c r="C77" s="7">
        <f t="shared" si="5"/>
        <v>-2003450.5636296037</v>
      </c>
      <c r="D77" s="3">
        <f t="shared" ref="D77:D96" si="8">+F76*$B$7</f>
        <v>1484611.2927711266</v>
      </c>
      <c r="E77" s="5">
        <f t="shared" ref="E77:E90" si="9">+-C77-D77</f>
        <v>518839.2708584771</v>
      </c>
      <c r="F77" s="5">
        <f t="shared" ref="F77:F90" si="10">+F76-E77</f>
        <v>126209442.53668399</v>
      </c>
      <c r="G77" s="3">
        <f t="shared" ref="G77:G96" si="11">+-F76/1000000*$B$8</f>
        <v>-190092.4227113137</v>
      </c>
      <c r="H77" s="3"/>
      <c r="I77" s="18"/>
      <c r="J77" s="10">
        <f t="shared" ref="J77:J90" si="12">+C77+G77</f>
        <v>-2193542.9863409176</v>
      </c>
      <c r="K77" s="5"/>
      <c r="P77" s="6"/>
      <c r="Q77" s="7"/>
      <c r="R77" s="3"/>
      <c r="S77" s="5"/>
      <c r="T77" s="5"/>
      <c r="U77" s="3"/>
      <c r="V77" s="3"/>
      <c r="W77" s="5"/>
    </row>
    <row r="78" spans="2:23" x14ac:dyDescent="0.25">
      <c r="B78" s="6" t="s">
        <v>71</v>
      </c>
      <c r="C78" s="7">
        <f t="shared" ref="C78:C141" si="13">+C77</f>
        <v>-2003450.5636296037</v>
      </c>
      <c r="D78" s="3">
        <f t="shared" si="8"/>
        <v>1478533.1338182623</v>
      </c>
      <c r="E78" s="5">
        <f t="shared" si="9"/>
        <v>524917.42981134146</v>
      </c>
      <c r="F78" s="5">
        <f t="shared" si="10"/>
        <v>125684525.10687265</v>
      </c>
      <c r="G78" s="3">
        <f t="shared" si="11"/>
        <v>-189314.16380502598</v>
      </c>
      <c r="H78" s="3"/>
      <c r="I78" s="18"/>
      <c r="J78" s="10">
        <f t="shared" si="12"/>
        <v>-2192764.7274346296</v>
      </c>
      <c r="K78" s="5"/>
      <c r="P78" s="6"/>
      <c r="Q78" s="7"/>
      <c r="R78" s="3"/>
      <c r="S78" s="5"/>
      <c r="T78" s="5"/>
      <c r="U78" s="3"/>
      <c r="V78" s="3"/>
      <c r="W78" s="5"/>
    </row>
    <row r="79" spans="2:23" x14ac:dyDescent="0.25">
      <c r="B79" s="6" t="s">
        <v>72</v>
      </c>
      <c r="C79" s="7">
        <f t="shared" si="13"/>
        <v>-2003450.5636296037</v>
      </c>
      <c r="D79" s="3">
        <f t="shared" si="8"/>
        <v>1472383.7697382392</v>
      </c>
      <c r="E79" s="5">
        <f t="shared" si="9"/>
        <v>531066.79389136448</v>
      </c>
      <c r="F79" s="5">
        <f t="shared" si="10"/>
        <v>125153458.31298128</v>
      </c>
      <c r="G79" s="3">
        <f t="shared" si="11"/>
        <v>-188526.78766030897</v>
      </c>
      <c r="H79" s="3"/>
      <c r="I79" s="18"/>
      <c r="J79" s="10">
        <f t="shared" si="12"/>
        <v>-2191977.3512899126</v>
      </c>
      <c r="K79" s="5"/>
      <c r="P79" s="6"/>
      <c r="Q79" s="7"/>
      <c r="R79" s="3"/>
      <c r="S79" s="5"/>
      <c r="T79" s="5"/>
      <c r="U79" s="3"/>
      <c r="V79" s="3"/>
      <c r="W79" s="5"/>
    </row>
    <row r="80" spans="2:23" x14ac:dyDescent="0.25">
      <c r="B80" s="6" t="s">
        <v>73</v>
      </c>
      <c r="C80" s="7">
        <f t="shared" si="13"/>
        <v>-2003450.5636296037</v>
      </c>
      <c r="D80" s="3">
        <f t="shared" si="8"/>
        <v>1466162.3663689089</v>
      </c>
      <c r="E80" s="5">
        <f t="shared" si="9"/>
        <v>537288.19726069481</v>
      </c>
      <c r="F80" s="5">
        <f t="shared" si="10"/>
        <v>124616170.11572058</v>
      </c>
      <c r="G80" s="3">
        <f t="shared" si="11"/>
        <v>-187730.18746947192</v>
      </c>
      <c r="H80" s="3"/>
      <c r="I80" s="18"/>
      <c r="J80" s="10">
        <f t="shared" si="12"/>
        <v>-2191180.7510990757</v>
      </c>
      <c r="K80" s="5"/>
      <c r="P80" s="6"/>
      <c r="Q80" s="7"/>
      <c r="R80" s="3"/>
      <c r="S80" s="5"/>
      <c r="T80" s="5"/>
      <c r="U80" s="3"/>
      <c r="V80" s="3"/>
      <c r="W80" s="5"/>
    </row>
    <row r="81" spans="2:23" x14ac:dyDescent="0.25">
      <c r="B81" s="6" t="s">
        <v>74</v>
      </c>
      <c r="C81" s="7">
        <f t="shared" si="13"/>
        <v>-2003450.5636296037</v>
      </c>
      <c r="D81" s="3">
        <f t="shared" si="8"/>
        <v>1459868.0797759823</v>
      </c>
      <c r="E81" s="5">
        <f t="shared" si="9"/>
        <v>543582.48385362141</v>
      </c>
      <c r="F81" s="5">
        <f t="shared" si="10"/>
        <v>124072587.63186696</v>
      </c>
      <c r="G81" s="3">
        <f t="shared" si="11"/>
        <v>-186924.25517358087</v>
      </c>
      <c r="H81" s="3"/>
      <c r="I81" s="18"/>
      <c r="J81" s="10">
        <f t="shared" si="12"/>
        <v>-2190374.8188031847</v>
      </c>
      <c r="K81" s="5"/>
      <c r="P81" s="6"/>
      <c r="Q81" s="7"/>
      <c r="R81" s="3"/>
      <c r="S81" s="5"/>
      <c r="T81" s="5"/>
      <c r="U81" s="3"/>
      <c r="V81" s="3"/>
      <c r="W81" s="5"/>
    </row>
    <row r="82" spans="2:23" x14ac:dyDescent="0.25">
      <c r="B82" s="6" t="s">
        <v>75</v>
      </c>
      <c r="C82" s="7">
        <f t="shared" si="13"/>
        <v>-2003450.5636296037</v>
      </c>
      <c r="D82" s="3">
        <f t="shared" si="8"/>
        <v>1453500.0561385495</v>
      </c>
      <c r="E82" s="5">
        <f t="shared" si="9"/>
        <v>549950.50749105425</v>
      </c>
      <c r="F82" s="5">
        <f t="shared" si="10"/>
        <v>123522637.12437591</v>
      </c>
      <c r="G82" s="3">
        <f t="shared" si="11"/>
        <v>-186108.88144780044</v>
      </c>
      <c r="H82" s="3"/>
      <c r="I82" s="18"/>
      <c r="J82" s="10">
        <f t="shared" si="12"/>
        <v>-2189559.4450774044</v>
      </c>
      <c r="K82" s="5"/>
      <c r="P82" s="6"/>
      <c r="Q82" s="7"/>
      <c r="R82" s="3"/>
      <c r="S82" s="5"/>
      <c r="T82" s="5"/>
      <c r="U82" s="3"/>
      <c r="V82" s="3"/>
      <c r="W82" s="5"/>
    </row>
    <row r="83" spans="2:23" x14ac:dyDescent="0.25">
      <c r="B83" s="6" t="s">
        <v>76</v>
      </c>
      <c r="C83" s="7">
        <f t="shared" si="13"/>
        <v>-2003450.5636296037</v>
      </c>
      <c r="D83" s="3">
        <f t="shared" si="8"/>
        <v>1447057.4316332606</v>
      </c>
      <c r="E83" s="5">
        <f t="shared" si="9"/>
        <v>556393.13199634315</v>
      </c>
      <c r="F83" s="5">
        <f t="shared" si="10"/>
        <v>122966243.99237956</v>
      </c>
      <c r="G83" s="3">
        <f t="shared" si="11"/>
        <v>-185283.95568656386</v>
      </c>
      <c r="H83" s="3"/>
      <c r="I83" s="18"/>
      <c r="J83" s="10">
        <f t="shared" si="12"/>
        <v>-2188734.5193161676</v>
      </c>
      <c r="K83" s="5"/>
      <c r="P83" s="6"/>
      <c r="Q83" s="7"/>
      <c r="R83" s="3"/>
      <c r="S83" s="5"/>
      <c r="T83" s="5"/>
      <c r="U83" s="3"/>
      <c r="V83" s="3"/>
      <c r="W83" s="5"/>
    </row>
    <row r="84" spans="2:23" x14ac:dyDescent="0.25">
      <c r="B84" s="6" t="s">
        <v>77</v>
      </c>
      <c r="C84" s="7">
        <f t="shared" si="13"/>
        <v>-2003450.5636296037</v>
      </c>
      <c r="D84" s="3">
        <f t="shared" si="8"/>
        <v>1440539.3323171462</v>
      </c>
      <c r="E84" s="5">
        <f t="shared" si="9"/>
        <v>562911.23131245747</v>
      </c>
      <c r="F84" s="5">
        <f t="shared" si="10"/>
        <v>122403332.76106711</v>
      </c>
      <c r="G84" s="3">
        <f t="shared" si="11"/>
        <v>-184449.36598856933</v>
      </c>
      <c r="H84" s="3"/>
      <c r="I84" s="18"/>
      <c r="J84" s="10">
        <f t="shared" si="12"/>
        <v>-2187899.9296181733</v>
      </c>
      <c r="K84" s="5"/>
      <c r="P84" s="6"/>
      <c r="Q84" s="7"/>
      <c r="R84" s="3"/>
      <c r="S84" s="5"/>
      <c r="T84" s="5"/>
      <c r="U84" s="3"/>
      <c r="V84" s="3"/>
      <c r="W84" s="5"/>
    </row>
    <row r="85" spans="2:23" x14ac:dyDescent="0.25">
      <c r="B85" s="6" t="s">
        <v>78</v>
      </c>
      <c r="C85" s="7">
        <f t="shared" si="13"/>
        <v>-2003450.5636296037</v>
      </c>
      <c r="D85" s="3">
        <f t="shared" si="8"/>
        <v>1433944.8740090686</v>
      </c>
      <c r="E85" s="5">
        <f t="shared" si="9"/>
        <v>569505.68962053512</v>
      </c>
      <c r="F85" s="5">
        <f t="shared" si="10"/>
        <v>121833827.07144657</v>
      </c>
      <c r="G85" s="3">
        <f t="shared" si="11"/>
        <v>-183604.99914160065</v>
      </c>
      <c r="H85" s="3"/>
      <c r="I85" s="18"/>
      <c r="J85" s="10">
        <f t="shared" si="12"/>
        <v>-2187055.5627712044</v>
      </c>
      <c r="K85" s="5"/>
      <c r="P85" s="6"/>
      <c r="Q85" s="7"/>
      <c r="R85" s="3"/>
      <c r="S85" s="5"/>
      <c r="T85" s="5"/>
      <c r="U85" s="3"/>
      <c r="V85" s="3"/>
      <c r="W85" s="5"/>
    </row>
    <row r="86" spans="2:23" x14ac:dyDescent="0.25">
      <c r="B86" s="6" t="s">
        <v>79</v>
      </c>
      <c r="C86" s="7">
        <f t="shared" si="13"/>
        <v>-2003450.5636296037</v>
      </c>
      <c r="D86" s="3">
        <f t="shared" si="8"/>
        <v>1427273.1621697801</v>
      </c>
      <c r="E86" s="5">
        <f t="shared" si="9"/>
        <v>576177.4014598236</v>
      </c>
      <c r="F86" s="5">
        <f t="shared" si="10"/>
        <v>121257649.66998674</v>
      </c>
      <c r="G86" s="3">
        <f t="shared" si="11"/>
        <v>-182750.74060716984</v>
      </c>
      <c r="H86" s="3"/>
      <c r="I86" s="18"/>
      <c r="J86" s="10">
        <f t="shared" si="12"/>
        <v>-2186201.3042367734</v>
      </c>
      <c r="K86" s="5"/>
      <c r="P86" s="6"/>
      <c r="Q86" s="7"/>
      <c r="R86" s="3"/>
      <c r="S86" s="5"/>
      <c r="T86" s="5"/>
      <c r="U86" s="3"/>
      <c r="V86" s="3"/>
      <c r="W86" s="5"/>
    </row>
    <row r="87" spans="2:23" x14ac:dyDescent="0.25">
      <c r="B87" s="6" t="s">
        <v>80</v>
      </c>
      <c r="C87" s="7">
        <f t="shared" si="13"/>
        <v>-2003450.5636296037</v>
      </c>
      <c r="D87" s="3">
        <f t="shared" si="8"/>
        <v>1420523.2917805812</v>
      </c>
      <c r="E87" s="5">
        <f t="shared" si="9"/>
        <v>582927.27184902248</v>
      </c>
      <c r="F87" s="5">
        <f t="shared" si="10"/>
        <v>120674722.39813772</v>
      </c>
      <c r="G87" s="3">
        <f t="shared" si="11"/>
        <v>-181886.47450498011</v>
      </c>
      <c r="H87" s="3"/>
      <c r="I87" s="18"/>
      <c r="J87" s="10">
        <f t="shared" si="12"/>
        <v>-2185337.0381345837</v>
      </c>
      <c r="K87" s="5"/>
      <c r="P87" s="6"/>
      <c r="Q87" s="7"/>
      <c r="R87" s="3"/>
      <c r="S87" s="5"/>
      <c r="T87" s="5"/>
      <c r="U87" s="3"/>
      <c r="V87" s="3"/>
      <c r="W87" s="5"/>
    </row>
    <row r="88" spans="2:23" x14ac:dyDescent="0.25">
      <c r="B88" s="6" t="s">
        <v>81</v>
      </c>
      <c r="C88" s="7">
        <f t="shared" si="13"/>
        <v>-2003450.5636296037</v>
      </c>
      <c r="D88" s="3">
        <f t="shared" si="8"/>
        <v>1413694.3472205531</v>
      </c>
      <c r="E88" s="5">
        <f t="shared" si="9"/>
        <v>589756.21640905063</v>
      </c>
      <c r="F88" s="5">
        <f t="shared" si="10"/>
        <v>120084966.18172866</v>
      </c>
      <c r="G88" s="3">
        <f t="shared" si="11"/>
        <v>-181012.08359720657</v>
      </c>
      <c r="H88" s="3"/>
      <c r="I88" s="18"/>
      <c r="J88" s="10">
        <f t="shared" si="12"/>
        <v>-2184462.6472268105</v>
      </c>
      <c r="K88" s="5"/>
      <c r="P88" s="6"/>
      <c r="Q88" s="7"/>
      <c r="R88" s="3"/>
      <c r="S88" s="5"/>
      <c r="T88" s="5"/>
      <c r="U88" s="3"/>
      <c r="V88" s="3"/>
      <c r="W88" s="5"/>
    </row>
    <row r="89" spans="2:23" x14ac:dyDescent="0.25">
      <c r="B89" s="6" t="s">
        <v>82</v>
      </c>
      <c r="C89" s="7">
        <f t="shared" si="13"/>
        <v>-2003450.5636296037</v>
      </c>
      <c r="D89" s="3">
        <f t="shared" si="8"/>
        <v>1406785.4021423541</v>
      </c>
      <c r="E89" s="5">
        <f t="shared" si="9"/>
        <v>596665.16148724966</v>
      </c>
      <c r="F89" s="5">
        <f t="shared" si="10"/>
        <v>119488301.02024141</v>
      </c>
      <c r="G89" s="3">
        <f t="shared" si="11"/>
        <v>-180127.44927259299</v>
      </c>
      <c r="H89" s="3"/>
      <c r="I89" s="18"/>
      <c r="J89" s="10">
        <f t="shared" si="12"/>
        <v>-2183578.0129021965</v>
      </c>
      <c r="K89" s="5"/>
      <c r="P89" s="6"/>
      <c r="Q89" s="7"/>
      <c r="R89" s="3"/>
      <c r="S89" s="5"/>
      <c r="T89" s="5"/>
      <c r="U89" s="3"/>
      <c r="V89" s="3"/>
      <c r="W89" s="5"/>
    </row>
    <row r="90" spans="2:23" x14ac:dyDescent="0.25">
      <c r="B90" s="6" t="s">
        <v>83</v>
      </c>
      <c r="C90" s="7">
        <f t="shared" si="13"/>
        <v>-2003450.5636296037</v>
      </c>
      <c r="D90" s="3">
        <f t="shared" si="8"/>
        <v>1399795.5193465599</v>
      </c>
      <c r="E90" s="5">
        <f t="shared" si="9"/>
        <v>603655.04428304383</v>
      </c>
      <c r="F90" s="5">
        <f t="shared" si="10"/>
        <v>118884645.97595836</v>
      </c>
      <c r="G90" s="3">
        <f t="shared" si="11"/>
        <v>-179232.4515303621</v>
      </c>
      <c r="H90" s="3"/>
      <c r="I90" s="18"/>
      <c r="J90" s="10">
        <f t="shared" si="12"/>
        <v>-2182683.015159966</v>
      </c>
      <c r="K90" s="5"/>
      <c r="P90" s="6"/>
      <c r="Q90" s="7"/>
      <c r="R90" s="3"/>
      <c r="S90" s="5"/>
      <c r="T90" s="5"/>
      <c r="U90" s="3"/>
      <c r="V90" s="3"/>
      <c r="W90" s="5"/>
    </row>
    <row r="91" spans="2:23" x14ac:dyDescent="0.25">
      <c r="B91" s="6" t="s">
        <v>84</v>
      </c>
      <c r="C91" s="7">
        <f t="shared" si="13"/>
        <v>-2003450.5636296037</v>
      </c>
      <c r="D91" s="3">
        <f t="shared" si="8"/>
        <v>1392723.7506545337</v>
      </c>
      <c r="E91" s="5">
        <f t="shared" ref="E91:E96" si="14">+-C91-D91</f>
        <v>610726.81297506997</v>
      </c>
      <c r="F91" s="5">
        <f t="shared" ref="F91:F96" si="15">+F90-E91</f>
        <v>118273919.1629833</v>
      </c>
      <c r="G91" s="3">
        <f t="shared" si="11"/>
        <v>-178326.96896393754</v>
      </c>
      <c r="H91" s="3"/>
      <c r="I91" s="18"/>
      <c r="J91" s="10">
        <f t="shared" ref="J91:J96" si="16">+C91+G91</f>
        <v>-2181777.5325935413</v>
      </c>
      <c r="K91" s="5"/>
      <c r="P91" s="6"/>
      <c r="Q91" s="7"/>
      <c r="R91" s="3"/>
      <c r="S91" s="5"/>
      <c r="T91" s="5"/>
      <c r="U91" s="3"/>
      <c r="V91" s="3"/>
      <c r="W91" s="5"/>
    </row>
    <row r="92" spans="2:23" x14ac:dyDescent="0.25">
      <c r="B92" s="6" t="s">
        <v>85</v>
      </c>
      <c r="C92" s="7">
        <f t="shared" si="13"/>
        <v>-2003450.5636296037</v>
      </c>
      <c r="D92" s="3">
        <f t="shared" si="8"/>
        <v>1385569.136779804</v>
      </c>
      <c r="E92" s="5">
        <f t="shared" si="14"/>
        <v>617881.4268497997</v>
      </c>
      <c r="F92" s="5">
        <f t="shared" si="15"/>
        <v>117656037.7361335</v>
      </c>
      <c r="G92" s="3">
        <f t="shared" si="11"/>
        <v>-177410.87874447496</v>
      </c>
      <c r="H92" s="3"/>
      <c r="I92" s="18"/>
      <c r="J92" s="10">
        <f t="shared" si="16"/>
        <v>-2180861.4423740786</v>
      </c>
      <c r="K92" s="5"/>
      <c r="P92" s="6"/>
      <c r="Q92" s="7"/>
      <c r="R92" s="3"/>
      <c r="S92" s="5"/>
      <c r="T92" s="5"/>
      <c r="U92" s="3"/>
      <c r="V92" s="3"/>
      <c r="W92" s="5"/>
    </row>
    <row r="93" spans="2:23" x14ac:dyDescent="0.25">
      <c r="B93" s="6" t="s">
        <v>86</v>
      </c>
      <c r="C93" s="7">
        <f t="shared" si="13"/>
        <v>-2003450.5636296037</v>
      </c>
      <c r="D93" s="3">
        <f t="shared" si="8"/>
        <v>1378330.7071979381</v>
      </c>
      <c r="E93" s="5">
        <f t="shared" si="14"/>
        <v>625119.8564316656</v>
      </c>
      <c r="F93" s="5">
        <f t="shared" si="15"/>
        <v>117030917.87970184</v>
      </c>
      <c r="G93" s="3">
        <f t="shared" si="11"/>
        <v>-176484.05660420025</v>
      </c>
      <c r="H93" s="3"/>
      <c r="I93" s="18"/>
      <c r="J93" s="10">
        <f t="shared" si="16"/>
        <v>-2179934.620233804</v>
      </c>
      <c r="K93" s="5"/>
      <c r="P93" s="6"/>
      <c r="Q93" s="7"/>
      <c r="R93" s="3"/>
      <c r="S93" s="5"/>
      <c r="T93" s="5"/>
      <c r="U93" s="3"/>
      <c r="V93" s="3"/>
      <c r="W93" s="5"/>
    </row>
    <row r="94" spans="2:23" x14ac:dyDescent="0.25">
      <c r="B94" s="6" t="s">
        <v>87</v>
      </c>
      <c r="C94" s="7">
        <f t="shared" si="13"/>
        <v>-2003450.5636296037</v>
      </c>
      <c r="D94" s="3">
        <f t="shared" si="8"/>
        <v>1371007.4800148904</v>
      </c>
      <c r="E94" s="5">
        <f t="shared" si="14"/>
        <v>632443.08361471328</v>
      </c>
      <c r="F94" s="5">
        <f t="shared" si="15"/>
        <v>116398474.79608713</v>
      </c>
      <c r="G94" s="3">
        <f t="shared" si="11"/>
        <v>-175546.37681955274</v>
      </c>
      <c r="H94" s="3"/>
      <c r="I94" s="18"/>
      <c r="J94" s="10">
        <f t="shared" si="16"/>
        <v>-2178996.9404491563</v>
      </c>
      <c r="K94" s="5"/>
      <c r="P94" s="6"/>
      <c r="Q94" s="7"/>
      <c r="R94" s="3"/>
      <c r="S94" s="5"/>
      <c r="T94" s="5"/>
      <c r="U94" s="3"/>
      <c r="V94" s="3"/>
      <c r="W94" s="5"/>
    </row>
    <row r="95" spans="2:23" x14ac:dyDescent="0.25">
      <c r="B95" s="6" t="s">
        <v>88</v>
      </c>
      <c r="C95" s="7">
        <f t="shared" si="13"/>
        <v>-2003450.5636296037</v>
      </c>
      <c r="D95" s="3">
        <f t="shared" si="8"/>
        <v>1363598.4618338083</v>
      </c>
      <c r="E95" s="5">
        <f t="shared" si="14"/>
        <v>639852.10179579537</v>
      </c>
      <c r="F95" s="5">
        <f t="shared" si="15"/>
        <v>115758622.69429134</v>
      </c>
      <c r="G95" s="3">
        <f t="shared" si="11"/>
        <v>-174597.7121941307</v>
      </c>
      <c r="H95" s="3"/>
      <c r="I95" s="18"/>
      <c r="J95" s="10">
        <f t="shared" si="16"/>
        <v>-2178048.2758237342</v>
      </c>
      <c r="K95" s="5"/>
      <c r="P95" s="6"/>
      <c r="Q95" s="7"/>
      <c r="R95" s="3"/>
      <c r="S95" s="5"/>
      <c r="T95" s="5"/>
      <c r="U95" s="3"/>
      <c r="V95" s="3"/>
      <c r="W95" s="5"/>
    </row>
    <row r="96" spans="2:23" x14ac:dyDescent="0.25">
      <c r="B96" s="6" t="s">
        <v>89</v>
      </c>
      <c r="C96" s="7">
        <f t="shared" si="13"/>
        <v>-2003450.5636296037</v>
      </c>
      <c r="D96" s="3">
        <f t="shared" si="8"/>
        <v>1356102.647620277</v>
      </c>
      <c r="E96" s="5">
        <f t="shared" si="14"/>
        <v>647347.9160093267</v>
      </c>
      <c r="F96" s="5">
        <f t="shared" si="15"/>
        <v>115111274.77828202</v>
      </c>
      <c r="G96" s="3">
        <f t="shared" si="11"/>
        <v>-173637.93404143699</v>
      </c>
      <c r="H96" s="3"/>
      <c r="I96" s="18"/>
      <c r="J96" s="10">
        <f t="shared" si="16"/>
        <v>-2177088.4976710407</v>
      </c>
      <c r="K96" s="5"/>
      <c r="P96" s="6"/>
      <c r="Q96" s="7"/>
      <c r="R96" s="3"/>
      <c r="S96" s="5"/>
      <c r="T96" s="5"/>
      <c r="U96" s="3"/>
      <c r="V96" s="3"/>
      <c r="W96" s="5"/>
    </row>
    <row r="97" spans="2:23" x14ac:dyDescent="0.25">
      <c r="B97" s="6" t="s">
        <v>110</v>
      </c>
      <c r="C97" s="7">
        <f t="shared" si="13"/>
        <v>-2003450.5636296037</v>
      </c>
      <c r="D97" s="3">
        <f t="shared" ref="D97:D160" si="17">+F96*$B$7</f>
        <v>1348519.0205659876</v>
      </c>
      <c r="E97" s="5">
        <f t="shared" ref="E97:E160" si="18">+-C97-D97</f>
        <v>654931.54306361615</v>
      </c>
      <c r="F97" s="5">
        <f t="shared" ref="F97:F160" si="19">+F96-E97</f>
        <v>114456343.23521841</v>
      </c>
      <c r="G97" s="3">
        <f t="shared" ref="G97:G160" si="20">+-F96/1000000*$B$8</f>
        <v>-172666.91216742303</v>
      </c>
      <c r="H97" s="3"/>
      <c r="I97" s="18"/>
      <c r="J97" s="10">
        <f t="shared" ref="J97:J160" si="21">+C97+G97</f>
        <v>-2176117.4757970269</v>
      </c>
      <c r="K97" s="5"/>
      <c r="P97" s="6"/>
      <c r="Q97" s="7"/>
      <c r="R97" s="3"/>
      <c r="S97" s="5"/>
      <c r="T97" s="5"/>
      <c r="U97" s="3"/>
      <c r="V97" s="3"/>
      <c r="W97" s="5"/>
    </row>
    <row r="98" spans="2:23" x14ac:dyDescent="0.25">
      <c r="B98" s="6" t="s">
        <v>111</v>
      </c>
      <c r="C98" s="7">
        <f t="shared" si="13"/>
        <v>-2003450.5636296037</v>
      </c>
      <c r="D98" s="3">
        <f t="shared" si="17"/>
        <v>1340846.5519508061</v>
      </c>
      <c r="E98" s="5">
        <f t="shared" si="18"/>
        <v>662604.01167879766</v>
      </c>
      <c r="F98" s="5">
        <f t="shared" si="19"/>
        <v>113793739.22353961</v>
      </c>
      <c r="G98" s="3">
        <f t="shared" si="20"/>
        <v>-171684.51485282762</v>
      </c>
      <c r="H98" s="3"/>
      <c r="I98" s="18"/>
      <c r="J98" s="10">
        <f t="shared" si="21"/>
        <v>-2175135.0784824314</v>
      </c>
      <c r="K98" s="5"/>
      <c r="P98" s="6"/>
      <c r="Q98" s="7"/>
      <c r="R98" s="3"/>
      <c r="S98" s="5"/>
      <c r="T98" s="5"/>
      <c r="U98" s="3"/>
      <c r="V98" s="3"/>
      <c r="W98" s="5"/>
    </row>
    <row r="99" spans="2:23" x14ac:dyDescent="0.25">
      <c r="B99" s="6" t="s">
        <v>112</v>
      </c>
      <c r="C99" s="7">
        <f t="shared" si="13"/>
        <v>-2003450.5636296037</v>
      </c>
      <c r="D99" s="3">
        <f t="shared" si="17"/>
        <v>1333084.2010032274</v>
      </c>
      <c r="E99" s="5">
        <f t="shared" si="18"/>
        <v>670366.36262637633</v>
      </c>
      <c r="F99" s="5">
        <f t="shared" si="19"/>
        <v>113123372.86091323</v>
      </c>
      <c r="G99" s="3">
        <f t="shared" si="20"/>
        <v>-170690.60883530939</v>
      </c>
      <c r="H99" s="3"/>
      <c r="I99" s="18"/>
      <c r="J99" s="10">
        <f t="shared" si="21"/>
        <v>-2174141.1724649132</v>
      </c>
      <c r="K99" s="5"/>
      <c r="P99" s="6"/>
      <c r="Q99" s="7"/>
      <c r="R99" s="3"/>
      <c r="S99" s="5"/>
      <c r="T99" s="5"/>
      <c r="U99" s="3"/>
      <c r="V99" s="3"/>
      <c r="W99" s="5"/>
    </row>
    <row r="100" spans="2:23" x14ac:dyDescent="0.25">
      <c r="B100" s="6" t="s">
        <v>113</v>
      </c>
      <c r="C100" s="7">
        <f t="shared" si="13"/>
        <v>-2003450.5636296037</v>
      </c>
      <c r="D100" s="3">
        <f t="shared" si="17"/>
        <v>1325230.9147591949</v>
      </c>
      <c r="E100" s="5">
        <f t="shared" si="18"/>
        <v>678219.64887040877</v>
      </c>
      <c r="F100" s="5">
        <f t="shared" si="19"/>
        <v>112445153.21204282</v>
      </c>
      <c r="G100" s="3">
        <f t="shared" si="20"/>
        <v>-169685.05929136986</v>
      </c>
      <c r="H100" s="3"/>
      <c r="I100" s="18"/>
      <c r="J100" s="10">
        <f t="shared" si="21"/>
        <v>-2173135.6229209737</v>
      </c>
      <c r="K100" s="5"/>
      <c r="P100" s="6"/>
      <c r="Q100" s="7"/>
      <c r="R100" s="3"/>
      <c r="S100" s="5"/>
      <c r="T100" s="5"/>
      <c r="U100" s="3"/>
      <c r="V100" s="3"/>
      <c r="W100" s="5"/>
    </row>
    <row r="101" spans="2:23" x14ac:dyDescent="0.25">
      <c r="B101" s="6" t="s">
        <v>114</v>
      </c>
      <c r="C101" s="7">
        <f t="shared" si="13"/>
        <v>-2003450.5636296037</v>
      </c>
      <c r="D101" s="3">
        <f t="shared" si="17"/>
        <v>1317285.627919266</v>
      </c>
      <c r="E101" s="5">
        <f t="shared" si="18"/>
        <v>686164.93571033771</v>
      </c>
      <c r="F101" s="5">
        <f t="shared" si="19"/>
        <v>111758988.27633248</v>
      </c>
      <c r="G101" s="3">
        <f t="shared" si="20"/>
        <v>-168667.72981806422</v>
      </c>
      <c r="H101" s="3"/>
      <c r="I101" s="18"/>
      <c r="J101" s="10">
        <f t="shared" si="21"/>
        <v>-2172118.2934476677</v>
      </c>
      <c r="K101" s="5"/>
      <c r="P101" s="6"/>
      <c r="Q101" s="7"/>
      <c r="R101" s="3"/>
      <c r="S101" s="5"/>
      <c r="T101" s="5"/>
      <c r="U101" s="3"/>
      <c r="V101" s="3"/>
      <c r="W101" s="5"/>
    </row>
    <row r="102" spans="2:23" x14ac:dyDescent="0.25">
      <c r="B102" s="6" t="s">
        <v>115</v>
      </c>
      <c r="C102" s="7">
        <f t="shared" si="13"/>
        <v>-2003450.5636296037</v>
      </c>
      <c r="D102" s="3">
        <f t="shared" si="17"/>
        <v>1309247.262704103</v>
      </c>
      <c r="E102" s="5">
        <f t="shared" si="18"/>
        <v>694203.30092550069</v>
      </c>
      <c r="F102" s="5">
        <f t="shared" si="19"/>
        <v>111064784.97540697</v>
      </c>
      <c r="G102" s="3">
        <f t="shared" si="20"/>
        <v>-167638.48241449872</v>
      </c>
      <c r="H102" s="3"/>
      <c r="I102" s="18"/>
      <c r="J102" s="10">
        <f t="shared" si="21"/>
        <v>-2171089.0460441024</v>
      </c>
      <c r="K102" s="5"/>
      <c r="P102" s="6"/>
      <c r="Q102" s="7"/>
      <c r="R102" s="3"/>
      <c r="S102" s="5"/>
      <c r="T102" s="5"/>
      <c r="U102" s="3"/>
      <c r="V102" s="3"/>
      <c r="W102" s="5"/>
    </row>
    <row r="103" spans="2:23" x14ac:dyDescent="0.25">
      <c r="B103" s="6" t="s">
        <v>116</v>
      </c>
      <c r="C103" s="7">
        <f t="shared" si="13"/>
        <v>-2003450.5636296037</v>
      </c>
      <c r="D103" s="3">
        <f t="shared" si="17"/>
        <v>1301114.7287082726</v>
      </c>
      <c r="E103" s="5">
        <f t="shared" si="18"/>
        <v>702335.83492133114</v>
      </c>
      <c r="F103" s="5">
        <f t="shared" si="19"/>
        <v>110362449.14048564</v>
      </c>
      <c r="G103" s="3">
        <f t="shared" si="20"/>
        <v>-166597.17746311048</v>
      </c>
      <c r="H103" s="3"/>
      <c r="I103" s="18"/>
      <c r="J103" s="10">
        <f t="shared" si="21"/>
        <v>-2170047.741092714</v>
      </c>
      <c r="K103" s="5"/>
      <c r="P103" s="6"/>
      <c r="Q103" s="7"/>
      <c r="R103" s="3"/>
      <c r="S103" s="5"/>
      <c r="T103" s="5"/>
      <c r="U103" s="3"/>
      <c r="V103" s="3"/>
      <c r="W103" s="5"/>
    </row>
    <row r="104" spans="2:23" x14ac:dyDescent="0.25">
      <c r="B104" s="6" t="s">
        <v>117</v>
      </c>
      <c r="C104" s="7">
        <f t="shared" si="13"/>
        <v>-2003450.5636296037</v>
      </c>
      <c r="D104" s="3">
        <f t="shared" si="17"/>
        <v>1292886.9227523333</v>
      </c>
      <c r="E104" s="5">
        <f t="shared" si="18"/>
        <v>710563.64087727037</v>
      </c>
      <c r="F104" s="5">
        <f t="shared" si="19"/>
        <v>109651885.49960837</v>
      </c>
      <c r="G104" s="3">
        <f t="shared" si="20"/>
        <v>-165543.67371072847</v>
      </c>
      <c r="H104" s="3"/>
      <c r="I104" s="18"/>
      <c r="J104" s="10">
        <f t="shared" si="21"/>
        <v>-2168994.237340332</v>
      </c>
      <c r="K104" s="5"/>
      <c r="P104" s="6"/>
      <c r="Q104" s="7"/>
      <c r="R104" s="3"/>
      <c r="S104" s="5"/>
      <c r="T104" s="5"/>
      <c r="U104" s="3"/>
      <c r="V104" s="3"/>
      <c r="W104" s="5"/>
    </row>
    <row r="105" spans="2:23" x14ac:dyDescent="0.25">
      <c r="B105" s="6" t="s">
        <v>118</v>
      </c>
      <c r="C105" s="7">
        <f t="shared" si="13"/>
        <v>-2003450.5636296037</v>
      </c>
      <c r="D105" s="3">
        <f t="shared" si="17"/>
        <v>1284562.7287331875</v>
      </c>
      <c r="E105" s="5">
        <f t="shared" si="18"/>
        <v>718887.83489641617</v>
      </c>
      <c r="F105" s="5">
        <f t="shared" si="19"/>
        <v>108932997.66471195</v>
      </c>
      <c r="G105" s="3">
        <f t="shared" si="20"/>
        <v>-164477.82824941256</v>
      </c>
      <c r="H105" s="3"/>
      <c r="I105" s="18"/>
      <c r="J105" s="10">
        <f t="shared" si="21"/>
        <v>-2167928.3918790161</v>
      </c>
      <c r="K105" s="5"/>
      <c r="P105" s="6"/>
      <c r="Q105" s="7"/>
      <c r="R105" s="3"/>
      <c r="S105" s="5"/>
      <c r="T105" s="5"/>
      <c r="U105" s="3"/>
      <c r="V105" s="3"/>
      <c r="W105" s="5"/>
    </row>
    <row r="106" spans="2:23" x14ac:dyDescent="0.25">
      <c r="B106" s="6" t="s">
        <v>119</v>
      </c>
      <c r="C106" s="7">
        <f t="shared" si="13"/>
        <v>-2003450.5636296037</v>
      </c>
      <c r="D106" s="3">
        <f t="shared" si="17"/>
        <v>1276141.0174726828</v>
      </c>
      <c r="E106" s="5">
        <f t="shared" si="18"/>
        <v>727309.54615692096</v>
      </c>
      <c r="F106" s="5">
        <f t="shared" si="19"/>
        <v>108205688.11855502</v>
      </c>
      <c r="G106" s="3">
        <f t="shared" si="20"/>
        <v>-163399.49649706791</v>
      </c>
      <c r="H106" s="3"/>
      <c r="I106" s="18"/>
      <c r="J106" s="10">
        <f t="shared" si="21"/>
        <v>-2166850.0601266716</v>
      </c>
      <c r="K106" s="5"/>
      <c r="P106" s="6"/>
      <c r="Q106" s="7"/>
      <c r="R106" s="3"/>
      <c r="S106" s="5"/>
      <c r="T106" s="5"/>
      <c r="U106" s="3"/>
      <c r="V106" s="3"/>
      <c r="W106" s="5"/>
    </row>
    <row r="107" spans="2:23" x14ac:dyDescent="0.25">
      <c r="B107" s="6" t="s">
        <v>120</v>
      </c>
      <c r="C107" s="7">
        <f t="shared" si="13"/>
        <v>-2003450.5636296037</v>
      </c>
      <c r="D107" s="3">
        <f t="shared" si="17"/>
        <v>1267620.646564438</v>
      </c>
      <c r="E107" s="5">
        <f t="shared" si="18"/>
        <v>735829.9170651657</v>
      </c>
      <c r="F107" s="5">
        <f t="shared" si="19"/>
        <v>107469858.20148987</v>
      </c>
      <c r="G107" s="3">
        <f t="shared" si="20"/>
        <v>-162308.53217783256</v>
      </c>
      <c r="H107" s="3"/>
      <c r="I107" s="18"/>
      <c r="J107" s="10">
        <f t="shared" si="21"/>
        <v>-2165759.0958074364</v>
      </c>
      <c r="K107" s="5"/>
      <c r="P107" s="6"/>
      <c r="Q107" s="7"/>
      <c r="R107" s="3"/>
      <c r="S107" s="5"/>
      <c r="T107" s="5"/>
      <c r="U107" s="3"/>
      <c r="V107" s="3"/>
      <c r="W107" s="5"/>
    </row>
    <row r="108" spans="2:23" x14ac:dyDescent="0.25">
      <c r="B108" s="6" t="s">
        <v>121</v>
      </c>
      <c r="C108" s="7">
        <f t="shared" si="13"/>
        <v>-2003450.5636296037</v>
      </c>
      <c r="D108" s="3">
        <f t="shared" si="17"/>
        <v>1259000.4602188771</v>
      </c>
      <c r="E108" s="5">
        <f t="shared" si="18"/>
        <v>744450.10341072665</v>
      </c>
      <c r="F108" s="5">
        <f t="shared" si="19"/>
        <v>106725408.09807914</v>
      </c>
      <c r="G108" s="3">
        <f t="shared" si="20"/>
        <v>-161204.78730223479</v>
      </c>
      <c r="H108" s="3"/>
      <c r="I108" s="18"/>
      <c r="J108" s="10">
        <f t="shared" si="21"/>
        <v>-2164655.3509318386</v>
      </c>
      <c r="K108" s="5"/>
      <c r="P108" s="6"/>
      <c r="Q108" s="7"/>
      <c r="R108" s="3"/>
      <c r="S108" s="5"/>
      <c r="T108" s="5"/>
      <c r="U108" s="3"/>
      <c r="V108" s="3"/>
      <c r="W108" s="5"/>
    </row>
    <row r="109" spans="2:23" x14ac:dyDescent="0.25">
      <c r="B109" s="6" t="s">
        <v>122</v>
      </c>
      <c r="C109" s="7">
        <f t="shared" si="13"/>
        <v>-2003450.5636296037</v>
      </c>
      <c r="D109" s="3">
        <f t="shared" si="17"/>
        <v>1250279.2891064442</v>
      </c>
      <c r="E109" s="5">
        <f t="shared" si="18"/>
        <v>753171.27452315949</v>
      </c>
      <c r="F109" s="5">
        <f t="shared" si="19"/>
        <v>105972236.82355599</v>
      </c>
      <c r="G109" s="3">
        <f t="shared" si="20"/>
        <v>-160088.11214711872</v>
      </c>
      <c r="H109" s="3"/>
      <c r="I109" s="18"/>
      <c r="J109" s="10">
        <f t="shared" si="21"/>
        <v>-2163538.6757767224</v>
      </c>
      <c r="K109" s="5"/>
      <c r="P109" s="6"/>
      <c r="Q109" s="7"/>
      <c r="R109" s="3"/>
      <c r="S109" s="5"/>
      <c r="T109" s="5"/>
      <c r="U109" s="3"/>
      <c r="V109" s="3"/>
      <c r="W109" s="5"/>
    </row>
    <row r="110" spans="2:23" x14ac:dyDescent="0.25">
      <c r="B110" s="6" t="s">
        <v>123</v>
      </c>
      <c r="C110" s="7">
        <f t="shared" si="13"/>
        <v>-2003450.5636296037</v>
      </c>
      <c r="D110" s="3">
        <f t="shared" si="17"/>
        <v>1241455.9501989854</v>
      </c>
      <c r="E110" s="5">
        <f t="shared" si="18"/>
        <v>761994.61343061831</v>
      </c>
      <c r="F110" s="5">
        <f t="shared" si="19"/>
        <v>105210242.21012537</v>
      </c>
      <c r="G110" s="3">
        <f t="shared" si="20"/>
        <v>-158958.35523533399</v>
      </c>
      <c r="H110" s="3"/>
      <c r="I110" s="18"/>
      <c r="J110" s="10">
        <f t="shared" si="21"/>
        <v>-2162408.9188649375</v>
      </c>
      <c r="K110" s="5"/>
      <c r="P110" s="6"/>
      <c r="Q110" s="7"/>
      <c r="R110" s="3"/>
      <c r="S110" s="5"/>
      <c r="T110" s="5"/>
      <c r="U110" s="3"/>
      <c r="V110" s="3"/>
      <c r="W110" s="5"/>
    </row>
    <row r="111" spans="2:23" x14ac:dyDescent="0.25">
      <c r="B111" s="6" t="s">
        <v>124</v>
      </c>
      <c r="C111" s="7">
        <f t="shared" si="13"/>
        <v>-2003450.5636296037</v>
      </c>
      <c r="D111" s="3">
        <f t="shared" si="17"/>
        <v>1232529.2466092699</v>
      </c>
      <c r="E111" s="5">
        <f t="shared" si="18"/>
        <v>770921.31702033384</v>
      </c>
      <c r="F111" s="5">
        <f t="shared" si="19"/>
        <v>104439320.89310504</v>
      </c>
      <c r="G111" s="3">
        <f t="shared" si="20"/>
        <v>-157815.36331518806</v>
      </c>
      <c r="H111" s="3"/>
      <c r="I111" s="18"/>
      <c r="J111" s="10">
        <f t="shared" si="21"/>
        <v>-2161265.9269447918</v>
      </c>
      <c r="K111" s="5"/>
      <c r="P111" s="6"/>
      <c r="Q111" s="7"/>
      <c r="R111" s="3"/>
      <c r="S111" s="5"/>
      <c r="T111" s="5"/>
      <c r="U111" s="3"/>
      <c r="V111" s="3"/>
      <c r="W111" s="5"/>
    </row>
    <row r="112" spans="2:23" x14ac:dyDescent="0.25">
      <c r="B112" s="6" t="s">
        <v>125</v>
      </c>
      <c r="C112" s="7">
        <f t="shared" si="13"/>
        <v>-2003450.5636296037</v>
      </c>
      <c r="D112" s="3">
        <f t="shared" si="17"/>
        <v>1223497.9674286328</v>
      </c>
      <c r="E112" s="5">
        <f t="shared" si="18"/>
        <v>779952.59620097093</v>
      </c>
      <c r="F112" s="5">
        <f t="shared" si="19"/>
        <v>103659368.29690407</v>
      </c>
      <c r="G112" s="3">
        <f t="shared" si="20"/>
        <v>-156658.98133965756</v>
      </c>
      <c r="H112" s="3"/>
      <c r="I112" s="18"/>
      <c r="J112" s="10">
        <f t="shared" si="21"/>
        <v>-2160109.5449692612</v>
      </c>
      <c r="K112" s="5"/>
      <c r="P112" s="6"/>
      <c r="Q112" s="7"/>
      <c r="R112" s="3"/>
      <c r="S112" s="5"/>
      <c r="T112" s="5"/>
      <c r="U112" s="3"/>
      <c r="V112" s="3"/>
      <c r="W112" s="5"/>
    </row>
    <row r="113" spans="2:23" x14ac:dyDescent="0.25">
      <c r="B113" s="6" t="s">
        <v>126</v>
      </c>
      <c r="C113" s="7">
        <f t="shared" si="13"/>
        <v>-2003450.5636296037</v>
      </c>
      <c r="D113" s="3">
        <f t="shared" si="17"/>
        <v>1214360.8875627145</v>
      </c>
      <c r="E113" s="5">
        <f t="shared" si="18"/>
        <v>789089.67606688919</v>
      </c>
      <c r="F113" s="5">
        <f t="shared" si="19"/>
        <v>102870278.62083718</v>
      </c>
      <c r="G113" s="3">
        <f t="shared" si="20"/>
        <v>-155489.05244535612</v>
      </c>
      <c r="H113" s="3"/>
      <c r="I113" s="18"/>
      <c r="J113" s="10">
        <f t="shared" si="21"/>
        <v>-2158939.6160749597</v>
      </c>
      <c r="K113" s="5"/>
      <c r="P113" s="6"/>
      <c r="Q113" s="7"/>
      <c r="R113" s="3"/>
      <c r="S113" s="5"/>
      <c r="T113" s="5"/>
      <c r="U113" s="3"/>
      <c r="V113" s="3"/>
      <c r="W113" s="5"/>
    </row>
    <row r="114" spans="2:23" x14ac:dyDescent="0.25">
      <c r="B114" s="6" t="s">
        <v>127</v>
      </c>
      <c r="C114" s="7">
        <f t="shared" si="13"/>
        <v>-2003450.5636296037</v>
      </c>
      <c r="D114" s="3">
        <f t="shared" si="17"/>
        <v>1205116.7675652769</v>
      </c>
      <c r="E114" s="5">
        <f t="shared" si="18"/>
        <v>798333.79606432677</v>
      </c>
      <c r="F114" s="5">
        <f t="shared" si="19"/>
        <v>102071944.82477285</v>
      </c>
      <c r="G114" s="3">
        <f t="shared" si="20"/>
        <v>-154305.41793125577</v>
      </c>
      <c r="H114" s="3"/>
      <c r="I114" s="18"/>
      <c r="J114" s="10">
        <f t="shared" si="21"/>
        <v>-2157755.9815608594</v>
      </c>
      <c r="K114" s="5"/>
      <c r="P114" s="6"/>
      <c r="Q114" s="7"/>
      <c r="R114" s="3"/>
      <c r="S114" s="5"/>
      <c r="T114" s="5"/>
      <c r="U114" s="3"/>
      <c r="V114" s="3"/>
      <c r="W114" s="5"/>
    </row>
    <row r="115" spans="2:23" x14ac:dyDescent="0.25">
      <c r="B115" s="6" t="s">
        <v>128</v>
      </c>
      <c r="C115" s="7">
        <f t="shared" si="13"/>
        <v>-2003450.5636296037</v>
      </c>
      <c r="D115" s="3">
        <f t="shared" si="17"/>
        <v>1195764.3534700722</v>
      </c>
      <c r="E115" s="5">
        <f t="shared" si="18"/>
        <v>807686.21015953156</v>
      </c>
      <c r="F115" s="5">
        <f t="shared" si="19"/>
        <v>101264258.61461332</v>
      </c>
      <c r="G115" s="3">
        <f t="shared" si="20"/>
        <v>-153107.91723715927</v>
      </c>
      <c r="H115" s="3"/>
      <c r="I115" s="18"/>
      <c r="J115" s="10">
        <f t="shared" si="21"/>
        <v>-2156558.4808667628</v>
      </c>
      <c r="K115" s="5"/>
      <c r="P115" s="6"/>
      <c r="Q115" s="7"/>
      <c r="R115" s="3"/>
      <c r="S115" s="5"/>
      <c r="T115" s="5"/>
      <c r="U115" s="3"/>
      <c r="V115" s="3"/>
      <c r="W115" s="5"/>
    </row>
    <row r="116" spans="2:23" x14ac:dyDescent="0.25">
      <c r="B116" s="6" t="s">
        <v>129</v>
      </c>
      <c r="C116" s="7">
        <f t="shared" si="13"/>
        <v>-2003450.5636296037</v>
      </c>
      <c r="D116" s="3">
        <f t="shared" si="17"/>
        <v>1186302.376620742</v>
      </c>
      <c r="E116" s="5">
        <f t="shared" si="18"/>
        <v>817148.18700886169</v>
      </c>
      <c r="F116" s="5">
        <f t="shared" si="19"/>
        <v>100447110.42760447</v>
      </c>
      <c r="G116" s="3">
        <f t="shared" si="20"/>
        <v>-151896.38792191999</v>
      </c>
      <c r="H116" s="3"/>
      <c r="I116" s="18"/>
      <c r="J116" s="10">
        <f t="shared" si="21"/>
        <v>-2155346.9515515235</v>
      </c>
      <c r="K116" s="5"/>
      <c r="P116" s="6"/>
      <c r="Q116" s="7"/>
      <c r="R116" s="3"/>
      <c r="S116" s="5"/>
      <c r="T116" s="5"/>
      <c r="U116" s="3"/>
      <c r="V116" s="3"/>
      <c r="W116" s="5"/>
    </row>
    <row r="117" spans="2:23" x14ac:dyDescent="0.25">
      <c r="B117" s="6" t="s">
        <v>130</v>
      </c>
      <c r="C117" s="7">
        <f t="shared" si="13"/>
        <v>-2003450.5636296037</v>
      </c>
      <c r="D117" s="3">
        <f t="shared" si="17"/>
        <v>1176729.5534987245</v>
      </c>
      <c r="E117" s="5">
        <f t="shared" si="18"/>
        <v>826721.01013087924</v>
      </c>
      <c r="F117" s="5">
        <f t="shared" si="19"/>
        <v>99620389.417473584</v>
      </c>
      <c r="G117" s="3">
        <f t="shared" si="20"/>
        <v>-150670.6656414067</v>
      </c>
      <c r="H117" s="3"/>
      <c r="I117" s="18"/>
      <c r="J117" s="10">
        <f t="shared" si="21"/>
        <v>-2154121.2292710105</v>
      </c>
      <c r="K117" s="5"/>
      <c r="P117" s="6"/>
      <c r="Q117" s="7"/>
      <c r="R117" s="3"/>
      <c r="S117" s="5"/>
      <c r="T117" s="5"/>
      <c r="U117" s="3"/>
      <c r="V117" s="3"/>
      <c r="W117" s="5"/>
    </row>
    <row r="118" spans="2:23" x14ac:dyDescent="0.25">
      <c r="B118" s="6" t="s">
        <v>131</v>
      </c>
      <c r="C118" s="7">
        <f t="shared" si="13"/>
        <v>-2003450.5636296037</v>
      </c>
      <c r="D118" s="3">
        <f t="shared" si="17"/>
        <v>1167044.5855491438</v>
      </c>
      <c r="E118" s="5">
        <f t="shared" si="18"/>
        <v>836405.97808045987</v>
      </c>
      <c r="F118" s="5">
        <f t="shared" si="19"/>
        <v>98783983.439393118</v>
      </c>
      <c r="G118" s="3">
        <f t="shared" si="20"/>
        <v>-149430.58412621039</v>
      </c>
      <c r="H118" s="3"/>
      <c r="I118" s="18"/>
      <c r="J118" s="10">
        <f t="shared" si="21"/>
        <v>-2152881.1477558143</v>
      </c>
      <c r="K118" s="5"/>
      <c r="P118" s="6"/>
      <c r="Q118" s="7"/>
      <c r="R118" s="3"/>
      <c r="S118" s="5"/>
      <c r="T118" s="5"/>
      <c r="U118" s="3"/>
      <c r="V118" s="3"/>
      <c r="W118" s="5"/>
    </row>
    <row r="119" spans="2:23" x14ac:dyDescent="0.25">
      <c r="B119" s="6" t="s">
        <v>132</v>
      </c>
      <c r="C119" s="7">
        <f t="shared" si="13"/>
        <v>-2003450.5636296037</v>
      </c>
      <c r="D119" s="3">
        <f t="shared" si="17"/>
        <v>1157246.1590046624</v>
      </c>
      <c r="E119" s="5">
        <f t="shared" si="18"/>
        <v>846204.40462494129</v>
      </c>
      <c r="F119" s="5">
        <f t="shared" si="19"/>
        <v>97937779.034768179</v>
      </c>
      <c r="G119" s="3">
        <f t="shared" si="20"/>
        <v>-148175.97515908966</v>
      </c>
      <c r="H119" s="3"/>
      <c r="I119" s="18"/>
      <c r="J119" s="10">
        <f t="shared" si="21"/>
        <v>-2151626.5387886935</v>
      </c>
      <c r="K119" s="5"/>
      <c r="P119" s="6"/>
      <c r="Q119" s="7"/>
      <c r="R119" s="3"/>
      <c r="S119" s="5"/>
      <c r="T119" s="5"/>
      <c r="U119" s="3"/>
      <c r="V119" s="3"/>
      <c r="W119" s="5"/>
    </row>
    <row r="120" spans="2:23" x14ac:dyDescent="0.25">
      <c r="B120" s="6" t="s">
        <v>133</v>
      </c>
      <c r="C120" s="7">
        <f t="shared" si="13"/>
        <v>-2003450.5636296037</v>
      </c>
      <c r="D120" s="3">
        <f t="shared" si="17"/>
        <v>1147332.9447072675</v>
      </c>
      <c r="E120" s="5">
        <f t="shared" si="18"/>
        <v>856117.61892233626</v>
      </c>
      <c r="F120" s="5">
        <f t="shared" si="19"/>
        <v>97081661.415845841</v>
      </c>
      <c r="G120" s="3">
        <f t="shared" si="20"/>
        <v>-146906.66855215229</v>
      </c>
      <c r="H120" s="3"/>
      <c r="I120" s="18"/>
      <c r="J120" s="10">
        <f t="shared" si="21"/>
        <v>-2150357.2321817558</v>
      </c>
      <c r="K120" s="5"/>
      <c r="P120" s="6"/>
      <c r="Q120" s="7"/>
      <c r="R120" s="3"/>
      <c r="S120" s="5"/>
      <c r="T120" s="5"/>
      <c r="U120" s="3"/>
      <c r="V120" s="3"/>
      <c r="W120" s="5"/>
    </row>
    <row r="121" spans="2:23" x14ac:dyDescent="0.25">
      <c r="B121" s="6" t="s">
        <v>134</v>
      </c>
      <c r="C121" s="7">
        <f t="shared" si="13"/>
        <v>-2003450.5636296037</v>
      </c>
      <c r="D121" s="3">
        <f t="shared" si="17"/>
        <v>1137303.5979279694</v>
      </c>
      <c r="E121" s="5">
        <f t="shared" si="18"/>
        <v>866146.9657016343</v>
      </c>
      <c r="F121" s="5">
        <f t="shared" si="19"/>
        <v>96215514.450144202</v>
      </c>
      <c r="G121" s="3">
        <f t="shared" si="20"/>
        <v>-145622.49212376875</v>
      </c>
      <c r="H121" s="3"/>
      <c r="I121" s="18"/>
      <c r="J121" s="10">
        <f t="shared" si="21"/>
        <v>-2149073.0557533726</v>
      </c>
      <c r="K121" s="5"/>
      <c r="P121" s="6"/>
      <c r="Q121" s="7"/>
      <c r="R121" s="3"/>
      <c r="S121" s="5"/>
      <c r="T121" s="5"/>
      <c r="U121" s="3"/>
      <c r="V121" s="3"/>
      <c r="W121" s="5"/>
    </row>
    <row r="122" spans="2:23" x14ac:dyDescent="0.25">
      <c r="B122" s="6" t="s">
        <v>135</v>
      </c>
      <c r="C122" s="7">
        <f t="shared" si="13"/>
        <v>-2003450.5636296037</v>
      </c>
      <c r="D122" s="3">
        <f t="shared" si="17"/>
        <v>1127156.7581843918</v>
      </c>
      <c r="E122" s="5">
        <f t="shared" si="18"/>
        <v>876293.80544521194</v>
      </c>
      <c r="F122" s="5">
        <f t="shared" si="19"/>
        <v>95339220.644698992</v>
      </c>
      <c r="G122" s="3">
        <f t="shared" si="20"/>
        <v>-144323.2716752163</v>
      </c>
      <c r="H122" s="3"/>
      <c r="I122" s="18"/>
      <c r="J122" s="10">
        <f t="shared" si="21"/>
        <v>-2147773.83530482</v>
      </c>
      <c r="K122" s="5"/>
      <c r="P122" s="6"/>
      <c r="Q122" s="7"/>
      <c r="R122" s="3"/>
      <c r="S122" s="5"/>
      <c r="T122" s="5"/>
      <c r="U122" s="3"/>
      <c r="V122" s="3"/>
      <c r="W122" s="5"/>
    </row>
    <row r="123" spans="2:23" x14ac:dyDescent="0.25">
      <c r="B123" s="6" t="s">
        <v>136</v>
      </c>
      <c r="C123" s="7">
        <f t="shared" si="13"/>
        <v>-2003450.5636296037</v>
      </c>
      <c r="D123" s="3">
        <f t="shared" si="17"/>
        <v>1116891.0490562189</v>
      </c>
      <c r="E123" s="5">
        <f t="shared" si="18"/>
        <v>886559.51457338477</v>
      </c>
      <c r="F123" s="5">
        <f t="shared" si="19"/>
        <v>94452661.130125612</v>
      </c>
      <c r="G123" s="3">
        <f t="shared" si="20"/>
        <v>-143008.8309670485</v>
      </c>
      <c r="H123" s="3"/>
      <c r="I123" s="18"/>
      <c r="J123" s="10">
        <f t="shared" si="21"/>
        <v>-2146459.3945966521</v>
      </c>
      <c r="K123" s="5"/>
      <c r="P123" s="6"/>
      <c r="Q123" s="7"/>
      <c r="R123" s="3"/>
      <c r="S123" s="5"/>
      <c r="T123" s="5"/>
      <c r="U123" s="3"/>
      <c r="V123" s="3"/>
      <c r="W123" s="5"/>
    </row>
    <row r="124" spans="2:23" x14ac:dyDescent="0.25">
      <c r="B124" s="6" t="s">
        <v>137</v>
      </c>
      <c r="C124" s="7">
        <f t="shared" si="13"/>
        <v>-2003450.5636296037</v>
      </c>
      <c r="D124" s="3">
        <f t="shared" si="17"/>
        <v>1106505.0779984861</v>
      </c>
      <c r="E124" s="5">
        <f t="shared" si="18"/>
        <v>896945.4856311176</v>
      </c>
      <c r="F124" s="5">
        <f t="shared" si="19"/>
        <v>93555715.644494489</v>
      </c>
      <c r="G124" s="3">
        <f t="shared" si="20"/>
        <v>-141678.99169518842</v>
      </c>
      <c r="H124" s="3"/>
      <c r="I124" s="18"/>
      <c r="J124" s="10">
        <f t="shared" si="21"/>
        <v>-2145129.5553247919</v>
      </c>
      <c r="K124" s="5"/>
      <c r="P124" s="6"/>
      <c r="Q124" s="7"/>
      <c r="R124" s="3"/>
      <c r="S124" s="5"/>
      <c r="T124" s="5"/>
      <c r="U124" s="3"/>
      <c r="V124" s="3"/>
      <c r="W124" s="5"/>
    </row>
    <row r="125" spans="2:23" x14ac:dyDescent="0.25">
      <c r="B125" s="6" t="s">
        <v>138</v>
      </c>
      <c r="C125" s="7">
        <f t="shared" si="13"/>
        <v>-2003450.5636296037</v>
      </c>
      <c r="D125" s="3">
        <f t="shared" si="17"/>
        <v>1095997.4361526801</v>
      </c>
      <c r="E125" s="5">
        <f t="shared" si="18"/>
        <v>907453.12747692363</v>
      </c>
      <c r="F125" s="5">
        <f t="shared" si="19"/>
        <v>92648262.517017558</v>
      </c>
      <c r="G125" s="3">
        <f t="shared" si="20"/>
        <v>-140333.57346674171</v>
      </c>
      <c r="H125" s="3"/>
      <c r="I125" s="18"/>
      <c r="J125" s="10">
        <f t="shared" si="21"/>
        <v>-2143784.1370963454</v>
      </c>
      <c r="K125" s="5"/>
      <c r="P125" s="6"/>
      <c r="Q125" s="7"/>
      <c r="R125" s="3"/>
      <c r="S125" s="5"/>
      <c r="T125" s="5"/>
      <c r="U125" s="3"/>
      <c r="V125" s="3"/>
      <c r="W125" s="5"/>
    </row>
    <row r="126" spans="2:23" x14ac:dyDescent="0.25">
      <c r="B126" s="6" t="s">
        <v>139</v>
      </c>
      <c r="C126" s="7">
        <f t="shared" si="13"/>
        <v>-2003450.5636296037</v>
      </c>
      <c r="D126" s="3">
        <f t="shared" si="17"/>
        <v>1085366.6981556267</v>
      </c>
      <c r="E126" s="5">
        <f t="shared" si="18"/>
        <v>918083.86547397706</v>
      </c>
      <c r="F126" s="5">
        <f t="shared" si="19"/>
        <v>91730178.651543587</v>
      </c>
      <c r="G126" s="3">
        <f t="shared" si="20"/>
        <v>-138972.39377552635</v>
      </c>
      <c r="H126" s="3"/>
      <c r="I126" s="18"/>
      <c r="J126" s="10">
        <f t="shared" si="21"/>
        <v>-2142422.9574051299</v>
      </c>
      <c r="K126" s="5"/>
      <c r="P126" s="6"/>
      <c r="Q126" s="7"/>
      <c r="R126" s="3"/>
      <c r="S126" s="5"/>
      <c r="T126" s="5"/>
      <c r="U126" s="3"/>
      <c r="V126" s="3"/>
      <c r="W126" s="5"/>
    </row>
    <row r="127" spans="2:23" x14ac:dyDescent="0.25">
      <c r="B127" s="6" t="s">
        <v>140</v>
      </c>
      <c r="C127" s="7">
        <f t="shared" si="13"/>
        <v>-2003450.5636296037</v>
      </c>
      <c r="D127" s="3">
        <f t="shared" si="17"/>
        <v>1074611.4219461412</v>
      </c>
      <c r="E127" s="5">
        <f t="shared" si="18"/>
        <v>928839.14168346254</v>
      </c>
      <c r="F127" s="5">
        <f t="shared" si="19"/>
        <v>90801339.509860128</v>
      </c>
      <c r="G127" s="3">
        <f t="shared" si="20"/>
        <v>-137595.26797731538</v>
      </c>
      <c r="H127" s="3"/>
      <c r="I127" s="18"/>
      <c r="J127" s="10">
        <f t="shared" si="21"/>
        <v>-2141045.8316069189</v>
      </c>
      <c r="K127" s="5"/>
      <c r="P127" s="6"/>
      <c r="Q127" s="7"/>
      <c r="R127" s="3"/>
      <c r="S127" s="5"/>
      <c r="T127" s="5"/>
      <c r="U127" s="3"/>
      <c r="V127" s="3"/>
      <c r="W127" s="5"/>
    </row>
    <row r="128" spans="2:23" x14ac:dyDescent="0.25">
      <c r="B128" s="6" t="s">
        <v>141</v>
      </c>
      <c r="C128" s="7">
        <f t="shared" si="13"/>
        <v>-2003450.5636296037</v>
      </c>
      <c r="D128" s="3">
        <f t="shared" si="17"/>
        <v>1063730.1485694116</v>
      </c>
      <c r="E128" s="5">
        <f t="shared" si="18"/>
        <v>939720.41506019211</v>
      </c>
      <c r="F128" s="5">
        <f t="shared" si="19"/>
        <v>89861619.094799936</v>
      </c>
      <c r="G128" s="3">
        <f t="shared" si="20"/>
        <v>-136202.00926479019</v>
      </c>
      <c r="H128" s="3"/>
      <c r="I128" s="18"/>
      <c r="J128" s="10">
        <f t="shared" si="21"/>
        <v>-2139652.5728943939</v>
      </c>
      <c r="K128" s="5"/>
      <c r="P128" s="6"/>
      <c r="Q128" s="7"/>
      <c r="R128" s="3"/>
      <c r="S128" s="5"/>
      <c r="T128" s="5"/>
      <c r="U128" s="3"/>
      <c r="V128" s="3"/>
      <c r="W128" s="5"/>
    </row>
    <row r="129" spans="2:23" x14ac:dyDescent="0.25">
      <c r="B129" s="6" t="s">
        <v>142</v>
      </c>
      <c r="C129" s="7">
        <f t="shared" si="13"/>
        <v>-2003450.5636296037</v>
      </c>
      <c r="D129" s="3">
        <f t="shared" si="17"/>
        <v>1052721.4019790913</v>
      </c>
      <c r="E129" s="5">
        <f t="shared" si="18"/>
        <v>950729.16165051237</v>
      </c>
      <c r="F129" s="5">
        <f t="shared" si="19"/>
        <v>88910889.933149427</v>
      </c>
      <c r="G129" s="3">
        <f t="shared" si="20"/>
        <v>-134792.4286421999</v>
      </c>
      <c r="H129" s="3"/>
      <c r="I129" s="18"/>
      <c r="J129" s="10">
        <f t="shared" si="21"/>
        <v>-2138242.9922718038</v>
      </c>
      <c r="K129" s="5"/>
      <c r="P129" s="6"/>
      <c r="Q129" s="7"/>
      <c r="R129" s="3"/>
      <c r="S129" s="5"/>
      <c r="T129" s="5"/>
      <c r="U129" s="3"/>
      <c r="V129" s="3"/>
      <c r="W129" s="5"/>
    </row>
    <row r="130" spans="2:23" x14ac:dyDescent="0.25">
      <c r="B130" s="6" t="s">
        <v>143</v>
      </c>
      <c r="C130" s="7">
        <f t="shared" si="13"/>
        <v>-2003450.5636296037</v>
      </c>
      <c r="D130" s="3">
        <f t="shared" si="17"/>
        <v>1041583.6888370737</v>
      </c>
      <c r="E130" s="5">
        <f t="shared" si="18"/>
        <v>961866.87479252997</v>
      </c>
      <c r="F130" s="5">
        <f t="shared" si="19"/>
        <v>87949023.058356896</v>
      </c>
      <c r="G130" s="3">
        <f t="shared" si="20"/>
        <v>-133366.33489972414</v>
      </c>
      <c r="H130" s="3"/>
      <c r="I130" s="18"/>
      <c r="J130" s="10">
        <f t="shared" si="21"/>
        <v>-2136816.8985293279</v>
      </c>
      <c r="K130" s="5"/>
      <c r="P130" s="6"/>
      <c r="Q130" s="7"/>
      <c r="R130" s="3"/>
      <c r="S130" s="5"/>
      <c r="T130" s="5"/>
      <c r="U130" s="3"/>
      <c r="V130" s="3"/>
      <c r="W130" s="5"/>
    </row>
    <row r="131" spans="2:23" x14ac:dyDescent="0.25">
      <c r="B131" s="6" t="s">
        <v>144</v>
      </c>
      <c r="C131" s="7">
        <f t="shared" si="13"/>
        <v>-2003450.5636296037</v>
      </c>
      <c r="D131" s="3">
        <f t="shared" si="17"/>
        <v>1030315.4983109202</v>
      </c>
      <c r="E131" s="5">
        <f t="shared" si="18"/>
        <v>973135.06531868351</v>
      </c>
      <c r="F131" s="5">
        <f t="shared" si="19"/>
        <v>86975887.993038207</v>
      </c>
      <c r="G131" s="3">
        <f t="shared" si="20"/>
        <v>-131923.53458753534</v>
      </c>
      <c r="H131" s="3"/>
      <c r="I131" s="18"/>
      <c r="J131" s="10">
        <f t="shared" si="21"/>
        <v>-2135374.098217139</v>
      </c>
      <c r="K131" s="5"/>
      <c r="P131" s="6"/>
      <c r="Q131" s="7"/>
      <c r="R131" s="3"/>
      <c r="S131" s="5"/>
      <c r="T131" s="5"/>
      <c r="U131" s="3"/>
      <c r="V131" s="3"/>
      <c r="W131" s="5"/>
    </row>
    <row r="132" spans="2:23" x14ac:dyDescent="0.25">
      <c r="B132" s="6" t="s">
        <v>145</v>
      </c>
      <c r="C132" s="7">
        <f t="shared" si="13"/>
        <v>-2003450.5636296037</v>
      </c>
      <c r="D132" s="3">
        <f t="shared" si="17"/>
        <v>1018915.3018689157</v>
      </c>
      <c r="E132" s="5">
        <f t="shared" si="18"/>
        <v>984535.26176068804</v>
      </c>
      <c r="F132" s="5">
        <f t="shared" si="19"/>
        <v>85991352.731277525</v>
      </c>
      <c r="G132" s="3">
        <f t="shared" si="20"/>
        <v>-130463.83198955732</v>
      </c>
      <c r="H132" s="3"/>
      <c r="I132" s="18"/>
      <c r="J132" s="10">
        <f t="shared" si="21"/>
        <v>-2133914.395619161</v>
      </c>
      <c r="K132" s="5"/>
      <c r="P132" s="6"/>
      <c r="Q132" s="7"/>
      <c r="R132" s="3"/>
      <c r="S132" s="5"/>
      <c r="T132" s="5"/>
      <c r="U132" s="3"/>
      <c r="V132" s="3"/>
      <c r="W132" s="5"/>
    </row>
    <row r="133" spans="2:23" x14ac:dyDescent="0.25">
      <c r="B133" s="6" t="s">
        <v>146</v>
      </c>
      <c r="C133" s="7">
        <f t="shared" si="13"/>
        <v>-2003450.5636296037</v>
      </c>
      <c r="D133" s="3">
        <f t="shared" si="17"/>
        <v>1007381.5530727232</v>
      </c>
      <c r="E133" s="5">
        <f t="shared" si="18"/>
        <v>996069.0105568805</v>
      </c>
      <c r="F133" s="5">
        <f t="shared" si="19"/>
        <v>84995283.720720649</v>
      </c>
      <c r="G133" s="3">
        <f t="shared" si="20"/>
        <v>-128987.02909691629</v>
      </c>
      <c r="H133" s="3"/>
      <c r="I133" s="18"/>
      <c r="J133" s="10">
        <f t="shared" si="21"/>
        <v>-2132437.5927265198</v>
      </c>
      <c r="K133" s="5"/>
      <c r="P133" s="6"/>
      <c r="Q133" s="7"/>
      <c r="R133" s="3"/>
      <c r="S133" s="5"/>
      <c r="T133" s="5"/>
      <c r="U133" s="3"/>
      <c r="V133" s="3"/>
      <c r="W133" s="5"/>
    </row>
    <row r="134" spans="2:23" x14ac:dyDescent="0.25">
      <c r="B134" s="6" t="s">
        <v>147</v>
      </c>
      <c r="C134" s="7">
        <f t="shared" si="13"/>
        <v>-2003450.5636296037</v>
      </c>
      <c r="D134" s="3">
        <f t="shared" si="17"/>
        <v>995712.68736760889</v>
      </c>
      <c r="E134" s="5">
        <f t="shared" si="18"/>
        <v>1007737.8762619948</v>
      </c>
      <c r="F134" s="5">
        <f t="shared" si="19"/>
        <v>83987545.844458655</v>
      </c>
      <c r="G134" s="3">
        <f t="shared" si="20"/>
        <v>-127492.92558108097</v>
      </c>
      <c r="H134" s="3"/>
      <c r="I134" s="18"/>
      <c r="J134" s="10">
        <f t="shared" si="21"/>
        <v>-2130943.4892106848</v>
      </c>
      <c r="K134" s="5"/>
      <c r="P134" s="6"/>
      <c r="Q134" s="7"/>
      <c r="R134" s="3"/>
      <c r="S134" s="5"/>
      <c r="T134" s="5"/>
      <c r="U134" s="3"/>
      <c r="V134" s="3"/>
      <c r="W134" s="5"/>
    </row>
    <row r="135" spans="2:23" x14ac:dyDescent="0.25">
      <c r="B135" s="6" t="s">
        <v>148</v>
      </c>
      <c r="C135" s="7">
        <f t="shared" si="13"/>
        <v>-2003450.5636296037</v>
      </c>
      <c r="D135" s="3">
        <f t="shared" si="17"/>
        <v>983907.12187021016</v>
      </c>
      <c r="E135" s="5">
        <f t="shared" si="18"/>
        <v>1019543.4417593936</v>
      </c>
      <c r="F135" s="5">
        <f t="shared" si="19"/>
        <v>82968002.402699262</v>
      </c>
      <c r="G135" s="3">
        <f t="shared" si="20"/>
        <v>-125981.31876668798</v>
      </c>
      <c r="H135" s="3"/>
      <c r="I135" s="18"/>
      <c r="J135" s="10">
        <f t="shared" si="21"/>
        <v>-2129431.8823962915</v>
      </c>
      <c r="K135" s="5"/>
      <c r="P135" s="6"/>
      <c r="Q135" s="7"/>
      <c r="R135" s="3"/>
      <c r="S135" s="5"/>
      <c r="T135" s="5"/>
      <c r="U135" s="3"/>
      <c r="V135" s="3"/>
      <c r="W135" s="5"/>
    </row>
    <row r="136" spans="2:23" x14ac:dyDescent="0.25">
      <c r="B136" s="6" t="s">
        <v>149</v>
      </c>
      <c r="C136" s="7">
        <f t="shared" si="13"/>
        <v>-2003450.5636296037</v>
      </c>
      <c r="D136" s="3">
        <f t="shared" si="17"/>
        <v>971963.25515381747</v>
      </c>
      <c r="E136" s="5">
        <f t="shared" si="18"/>
        <v>1031487.3084757862</v>
      </c>
      <c r="F136" s="5">
        <f t="shared" si="19"/>
        <v>81936515.094223469</v>
      </c>
      <c r="G136" s="3">
        <f t="shared" si="20"/>
        <v>-124452.00360404888</v>
      </c>
      <c r="H136" s="3"/>
      <c r="I136" s="18"/>
      <c r="J136" s="10">
        <f t="shared" si="21"/>
        <v>-2127902.5672336528</v>
      </c>
      <c r="K136" s="5"/>
      <c r="P136" s="6"/>
      <c r="Q136" s="7"/>
      <c r="R136" s="3"/>
      <c r="S136" s="5"/>
      <c r="T136" s="5"/>
      <c r="U136" s="3"/>
      <c r="V136" s="3"/>
      <c r="W136" s="5"/>
    </row>
    <row r="137" spans="2:23" x14ac:dyDescent="0.25">
      <c r="B137" s="6" t="s">
        <v>150</v>
      </c>
      <c r="C137" s="7">
        <f t="shared" si="13"/>
        <v>-2003450.5636296037</v>
      </c>
      <c r="D137" s="3">
        <f t="shared" si="17"/>
        <v>959879.46703114035</v>
      </c>
      <c r="E137" s="5">
        <f t="shared" si="18"/>
        <v>1043571.0965984634</v>
      </c>
      <c r="F137" s="5">
        <f t="shared" si="19"/>
        <v>80892943.997625008</v>
      </c>
      <c r="G137" s="3">
        <f t="shared" si="20"/>
        <v>-122904.77264133521</v>
      </c>
      <c r="H137" s="3"/>
      <c r="I137" s="18"/>
      <c r="J137" s="10">
        <f t="shared" si="21"/>
        <v>-2126355.3362709391</v>
      </c>
      <c r="K137" s="5"/>
      <c r="P137" s="6"/>
      <c r="Q137" s="7"/>
      <c r="R137" s="3"/>
      <c r="S137" s="5"/>
      <c r="T137" s="5"/>
      <c r="U137" s="3"/>
      <c r="V137" s="3"/>
      <c r="W137" s="5"/>
    </row>
    <row r="138" spans="2:23" x14ac:dyDescent="0.25">
      <c r="B138" s="6" t="s">
        <v>151</v>
      </c>
      <c r="C138" s="7">
        <f t="shared" si="13"/>
        <v>-2003450.5636296037</v>
      </c>
      <c r="D138" s="3">
        <f t="shared" si="17"/>
        <v>947654.11833452911</v>
      </c>
      <c r="E138" s="5">
        <f t="shared" si="18"/>
        <v>1055796.4452950745</v>
      </c>
      <c r="F138" s="5">
        <f t="shared" si="19"/>
        <v>79837147.552329928</v>
      </c>
      <c r="G138" s="3">
        <f t="shared" si="20"/>
        <v>-121339.41599643751</v>
      </c>
      <c r="H138" s="3"/>
      <c r="I138" s="18"/>
      <c r="J138" s="10">
        <f t="shared" si="21"/>
        <v>-2124789.9796260414</v>
      </c>
      <c r="K138" s="5"/>
      <c r="P138" s="6"/>
      <c r="Q138" s="7"/>
      <c r="R138" s="3"/>
      <c r="S138" s="5"/>
      <c r="T138" s="5"/>
      <c r="U138" s="3"/>
      <c r="V138" s="3"/>
      <c r="W138" s="5"/>
    </row>
    <row r="139" spans="2:23" x14ac:dyDescent="0.25">
      <c r="B139" s="6" t="s">
        <v>152</v>
      </c>
      <c r="C139" s="7">
        <f t="shared" si="13"/>
        <v>-2003450.5636296037</v>
      </c>
      <c r="D139" s="3">
        <f t="shared" si="17"/>
        <v>935285.55069362069</v>
      </c>
      <c r="E139" s="5">
        <f t="shared" si="18"/>
        <v>1068165.012935983</v>
      </c>
      <c r="F139" s="5">
        <f t="shared" si="19"/>
        <v>78768982.539393947</v>
      </c>
      <c r="G139" s="3">
        <f t="shared" si="20"/>
        <v>-119755.72132849488</v>
      </c>
      <c r="H139" s="3"/>
      <c r="I139" s="18"/>
      <c r="J139" s="10">
        <f t="shared" si="21"/>
        <v>-2123206.2849580985</v>
      </c>
      <c r="K139" s="5"/>
      <c r="P139" s="6"/>
      <c r="Q139" s="7"/>
      <c r="R139" s="3"/>
      <c r="S139" s="5"/>
      <c r="T139" s="5"/>
      <c r="U139" s="3"/>
      <c r="V139" s="3"/>
      <c r="W139" s="5"/>
    </row>
    <row r="140" spans="2:23" x14ac:dyDescent="0.25">
      <c r="B140" s="6" t="s">
        <v>153</v>
      </c>
      <c r="C140" s="7">
        <f t="shared" si="13"/>
        <v>-2003450.5636296037</v>
      </c>
      <c r="D140" s="3">
        <f t="shared" si="17"/>
        <v>922772.08631038154</v>
      </c>
      <c r="E140" s="5">
        <f t="shared" si="18"/>
        <v>1080678.4773192222</v>
      </c>
      <c r="F140" s="5">
        <f t="shared" si="19"/>
        <v>77688304.062074721</v>
      </c>
      <c r="G140" s="3">
        <f t="shared" si="20"/>
        <v>-118153.47380909092</v>
      </c>
      <c r="H140" s="3"/>
      <c r="I140" s="18"/>
      <c r="J140" s="10">
        <f t="shared" si="21"/>
        <v>-2121604.0374386949</v>
      </c>
      <c r="K140" s="5"/>
      <c r="P140" s="6"/>
      <c r="Q140" s="7"/>
      <c r="R140" s="3"/>
      <c r="S140" s="5"/>
      <c r="T140" s="5"/>
      <c r="U140" s="3"/>
      <c r="V140" s="3"/>
      <c r="W140" s="5"/>
    </row>
    <row r="141" spans="2:23" x14ac:dyDescent="0.25">
      <c r="B141" s="6" t="s">
        <v>154</v>
      </c>
      <c r="C141" s="7">
        <f t="shared" si="13"/>
        <v>-2003450.5636296037</v>
      </c>
      <c r="D141" s="3">
        <f t="shared" si="17"/>
        <v>910112.02773151326</v>
      </c>
      <c r="E141" s="5">
        <f t="shared" si="18"/>
        <v>1093338.5358980903</v>
      </c>
      <c r="F141" s="5">
        <f t="shared" si="19"/>
        <v>76594965.526176631</v>
      </c>
      <c r="G141" s="3">
        <f t="shared" si="20"/>
        <v>-116532.45609311208</v>
      </c>
      <c r="H141" s="3"/>
      <c r="I141" s="18"/>
      <c r="J141" s="10">
        <f t="shared" si="21"/>
        <v>-2119983.019722716</v>
      </c>
      <c r="K141" s="5"/>
      <c r="P141" s="6"/>
      <c r="Q141" s="7"/>
      <c r="R141" s="3"/>
      <c r="S141" s="5"/>
      <c r="T141" s="5"/>
      <c r="U141" s="3"/>
      <c r="V141" s="3"/>
      <c r="W141" s="5"/>
    </row>
    <row r="142" spans="2:23" x14ac:dyDescent="0.25">
      <c r="B142" s="6" t="s">
        <v>155</v>
      </c>
      <c r="C142" s="7">
        <f t="shared" ref="C142:C192" si="22">+C141</f>
        <v>-2003450.5636296037</v>
      </c>
      <c r="D142" s="3">
        <f t="shared" si="17"/>
        <v>897303.65761819296</v>
      </c>
      <c r="E142" s="5">
        <f t="shared" si="18"/>
        <v>1106146.9060114108</v>
      </c>
      <c r="F142" s="5">
        <f t="shared" si="19"/>
        <v>75488818.620165214</v>
      </c>
      <c r="G142" s="3">
        <f t="shared" si="20"/>
        <v>-114892.44828926495</v>
      </c>
      <c r="H142" s="3"/>
      <c r="I142" s="18"/>
      <c r="J142" s="10">
        <f t="shared" si="21"/>
        <v>-2118343.0119188689</v>
      </c>
      <c r="K142" s="5"/>
      <c r="P142" s="6"/>
      <c r="Q142" s="7"/>
      <c r="R142" s="3"/>
      <c r="S142" s="5"/>
      <c r="T142" s="5"/>
      <c r="U142" s="3"/>
      <c r="V142" s="3"/>
      <c r="W142" s="5"/>
    </row>
    <row r="143" spans="2:23" x14ac:dyDescent="0.25">
      <c r="B143" s="6" t="s">
        <v>156</v>
      </c>
      <c r="C143" s="7">
        <f t="shared" si="22"/>
        <v>-2003450.5636296037</v>
      </c>
      <c r="D143" s="3">
        <f t="shared" si="17"/>
        <v>884345.23851311638</v>
      </c>
      <c r="E143" s="5">
        <f t="shared" si="18"/>
        <v>1119105.3251164872</v>
      </c>
      <c r="F143" s="5">
        <f t="shared" si="19"/>
        <v>74369713.295048729</v>
      </c>
      <c r="G143" s="3">
        <f t="shared" si="20"/>
        <v>-113233.22793024783</v>
      </c>
      <c r="H143" s="3"/>
      <c r="I143" s="18"/>
      <c r="J143" s="10">
        <f t="shared" si="21"/>
        <v>-2116683.7915598517</v>
      </c>
      <c r="K143" s="5"/>
      <c r="P143" s="6"/>
      <c r="Q143" s="7"/>
      <c r="R143" s="3"/>
      <c r="S143" s="5"/>
      <c r="T143" s="5"/>
      <c r="U143" s="3"/>
      <c r="V143" s="3"/>
      <c r="W143" s="5"/>
    </row>
    <row r="144" spans="2:23" x14ac:dyDescent="0.25">
      <c r="B144" s="6" t="s">
        <v>157</v>
      </c>
      <c r="C144" s="7">
        <f t="shared" si="22"/>
        <v>-2003450.5636296037</v>
      </c>
      <c r="D144" s="3">
        <f t="shared" si="17"/>
        <v>871235.01260481123</v>
      </c>
      <c r="E144" s="5">
        <f t="shared" si="18"/>
        <v>1132215.5510247925</v>
      </c>
      <c r="F144" s="5">
        <f t="shared" si="19"/>
        <v>73237497.744023934</v>
      </c>
      <c r="G144" s="3">
        <f t="shared" si="20"/>
        <v>-111554.56994257309</v>
      </c>
      <c r="H144" s="3"/>
      <c r="I144" s="18"/>
      <c r="J144" s="10">
        <f t="shared" si="21"/>
        <v>-2115005.133572177</v>
      </c>
      <c r="K144" s="5"/>
      <c r="P144" s="6"/>
      <c r="Q144" s="7"/>
      <c r="R144" s="3"/>
      <c r="S144" s="5"/>
      <c r="T144" s="5"/>
      <c r="U144" s="3"/>
      <c r="V144" s="3"/>
      <c r="W144" s="5"/>
    </row>
    <row r="145" spans="2:23" x14ac:dyDescent="0.25">
      <c r="B145" s="6" t="s">
        <v>158</v>
      </c>
      <c r="C145" s="7">
        <f t="shared" si="22"/>
        <v>-2003450.5636296037</v>
      </c>
      <c r="D145" s="3">
        <f t="shared" si="17"/>
        <v>857971.20148918976</v>
      </c>
      <c r="E145" s="5">
        <f t="shared" si="18"/>
        <v>1145479.3621404138</v>
      </c>
      <c r="F145" s="5">
        <f t="shared" si="19"/>
        <v>72092018.381883517</v>
      </c>
      <c r="G145" s="3">
        <f t="shared" si="20"/>
        <v>-109856.2466160359</v>
      </c>
      <c r="H145" s="3"/>
      <c r="I145" s="18"/>
      <c r="J145" s="10">
        <f t="shared" si="21"/>
        <v>-2113306.8102456396</v>
      </c>
      <c r="K145" s="5"/>
      <c r="P145" s="6"/>
      <c r="Q145" s="7"/>
      <c r="R145" s="3"/>
      <c r="S145" s="5"/>
      <c r="T145" s="5"/>
      <c r="U145" s="3"/>
      <c r="V145" s="3"/>
      <c r="W145" s="5"/>
    </row>
    <row r="146" spans="2:23" x14ac:dyDescent="0.25">
      <c r="B146" s="6" t="s">
        <v>159</v>
      </c>
      <c r="C146" s="7">
        <f t="shared" si="22"/>
        <v>-2003450.5636296037</v>
      </c>
      <c r="D146" s="3">
        <f t="shared" si="17"/>
        <v>844552.00592830812</v>
      </c>
      <c r="E146" s="5">
        <f t="shared" si="18"/>
        <v>1158898.5577012957</v>
      </c>
      <c r="F146" s="5">
        <f t="shared" si="19"/>
        <v>70933119.824182227</v>
      </c>
      <c r="G146" s="3">
        <f t="shared" si="20"/>
        <v>-108138.02757282527</v>
      </c>
      <c r="H146" s="3"/>
      <c r="I146" s="18"/>
      <c r="J146" s="10">
        <f t="shared" si="21"/>
        <v>-2111588.591202429</v>
      </c>
      <c r="K146" s="5"/>
      <c r="P146" s="6"/>
      <c r="Q146" s="7"/>
      <c r="R146" s="3"/>
      <c r="S146" s="5"/>
      <c r="T146" s="5"/>
      <c r="U146" s="3"/>
      <c r="V146" s="3"/>
      <c r="W146" s="5"/>
    </row>
    <row r="147" spans="2:23" x14ac:dyDescent="0.25">
      <c r="B147" s="6" t="s">
        <v>160</v>
      </c>
      <c r="C147" s="7">
        <f t="shared" si="22"/>
        <v>-2003450.5636296037</v>
      </c>
      <c r="D147" s="3">
        <f t="shared" si="17"/>
        <v>830975.60560629959</v>
      </c>
      <c r="E147" s="5">
        <f t="shared" si="18"/>
        <v>1172474.9580233041</v>
      </c>
      <c r="F147" s="5">
        <f t="shared" si="19"/>
        <v>69760644.866158918</v>
      </c>
      <c r="G147" s="3">
        <f t="shared" si="20"/>
        <v>-106399.67973627335</v>
      </c>
      <c r="H147" s="3"/>
      <c r="I147" s="18"/>
      <c r="J147" s="10">
        <f t="shared" si="21"/>
        <v>-2109850.2433658768</v>
      </c>
      <c r="K147" s="5"/>
      <c r="P147" s="6"/>
      <c r="Q147" s="7"/>
      <c r="R147" s="3"/>
      <c r="S147" s="5"/>
      <c r="T147" s="5"/>
      <c r="U147" s="3"/>
      <c r="V147" s="3"/>
      <c r="W147" s="5"/>
    </row>
    <row r="148" spans="2:23" x14ac:dyDescent="0.25">
      <c r="B148" s="6" t="s">
        <v>161</v>
      </c>
      <c r="C148" s="7">
        <f t="shared" si="22"/>
        <v>-2003450.5636296037</v>
      </c>
      <c r="D148" s="3">
        <f t="shared" si="17"/>
        <v>817240.15888244787</v>
      </c>
      <c r="E148" s="5">
        <f t="shared" si="18"/>
        <v>1186210.404747156</v>
      </c>
      <c r="F148" s="5">
        <f t="shared" si="19"/>
        <v>68574434.461411759</v>
      </c>
      <c r="G148" s="3">
        <f t="shared" si="20"/>
        <v>-104640.96729923837</v>
      </c>
      <c r="H148" s="3"/>
      <c r="I148" s="18"/>
      <c r="J148" s="10">
        <f t="shared" si="21"/>
        <v>-2108091.5309288423</v>
      </c>
      <c r="K148" s="5"/>
      <c r="P148" s="6"/>
      <c r="Q148" s="7"/>
      <c r="R148" s="3"/>
      <c r="S148" s="5"/>
      <c r="T148" s="5"/>
      <c r="U148" s="3"/>
      <c r="V148" s="3"/>
      <c r="W148" s="5"/>
    </row>
    <row r="149" spans="2:23" x14ac:dyDescent="0.25">
      <c r="B149" s="6" t="s">
        <v>162</v>
      </c>
      <c r="C149" s="7">
        <f t="shared" si="22"/>
        <v>-2003450.5636296037</v>
      </c>
      <c r="D149" s="3">
        <f t="shared" si="17"/>
        <v>803343.80254136934</v>
      </c>
      <c r="E149" s="5">
        <f t="shared" si="18"/>
        <v>1200106.7610882344</v>
      </c>
      <c r="F149" s="5">
        <f t="shared" si="19"/>
        <v>67374327.700323522</v>
      </c>
      <c r="G149" s="3">
        <f t="shared" si="20"/>
        <v>-102861.65169211764</v>
      </c>
      <c r="H149" s="3"/>
      <c r="I149" s="18"/>
      <c r="J149" s="10">
        <f t="shared" si="21"/>
        <v>-2106312.2153217215</v>
      </c>
      <c r="K149" s="5"/>
    </row>
    <row r="150" spans="2:23" x14ac:dyDescent="0.25">
      <c r="B150" s="6" t="s">
        <v>163</v>
      </c>
      <c r="C150" s="7">
        <f t="shared" si="22"/>
        <v>-2003450.5636296037</v>
      </c>
      <c r="D150" s="3">
        <f t="shared" si="17"/>
        <v>789284.65154026623</v>
      </c>
      <c r="E150" s="5">
        <f t="shared" si="18"/>
        <v>1214165.9120893376</v>
      </c>
      <c r="F150" s="5">
        <f t="shared" si="19"/>
        <v>66160161.788234182</v>
      </c>
      <c r="G150" s="3">
        <f t="shared" si="20"/>
        <v>-101061.49155048528</v>
      </c>
      <c r="H150" s="3"/>
      <c r="I150" s="18"/>
      <c r="J150" s="10">
        <f t="shared" si="21"/>
        <v>-2104512.0551800891</v>
      </c>
      <c r="K150" s="5"/>
    </row>
    <row r="151" spans="2:23" x14ac:dyDescent="0.25">
      <c r="B151" s="6" t="s">
        <v>164</v>
      </c>
      <c r="C151" s="7">
        <f t="shared" si="22"/>
        <v>-2003450.5636296037</v>
      </c>
      <c r="D151" s="3">
        <f t="shared" si="17"/>
        <v>775060.79875322164</v>
      </c>
      <c r="E151" s="5">
        <f t="shared" si="18"/>
        <v>1228389.764876382</v>
      </c>
      <c r="F151" s="5">
        <f t="shared" si="19"/>
        <v>64931772.023357801</v>
      </c>
      <c r="G151" s="3">
        <f t="shared" si="20"/>
        <v>-99240.242682351265</v>
      </c>
      <c r="H151" s="3"/>
      <c r="I151" s="18"/>
      <c r="J151" s="10">
        <f t="shared" si="21"/>
        <v>-2102690.8063119547</v>
      </c>
      <c r="K151" s="5"/>
    </row>
    <row r="152" spans="2:23" x14ac:dyDescent="0.25">
      <c r="B152" s="6" t="s">
        <v>165</v>
      </c>
      <c r="C152" s="7">
        <f t="shared" si="22"/>
        <v>-2003450.5636296037</v>
      </c>
      <c r="D152" s="3">
        <f t="shared" si="17"/>
        <v>760670.31471249659</v>
      </c>
      <c r="E152" s="5">
        <f t="shared" si="18"/>
        <v>1242780.248917107</v>
      </c>
      <c r="F152" s="5">
        <f t="shared" si="19"/>
        <v>63688991.774440691</v>
      </c>
      <c r="G152" s="3">
        <f t="shared" si="20"/>
        <v>-97397.658035036686</v>
      </c>
      <c r="H152" s="3"/>
      <c r="I152" s="18"/>
      <c r="J152" s="10">
        <f t="shared" si="21"/>
        <v>-2100848.2216646406</v>
      </c>
      <c r="K152" s="5"/>
    </row>
    <row r="153" spans="2:23" x14ac:dyDescent="0.25">
      <c r="B153" s="6" t="s">
        <v>166</v>
      </c>
      <c r="C153" s="7">
        <f t="shared" si="22"/>
        <v>-2003450.5636296037</v>
      </c>
      <c r="D153" s="3">
        <f t="shared" si="17"/>
        <v>746111.24734679796</v>
      </c>
      <c r="E153" s="5">
        <f t="shared" si="18"/>
        <v>1257339.3162828058</v>
      </c>
      <c r="F153" s="5">
        <f t="shared" si="19"/>
        <v>62431652.458157882</v>
      </c>
      <c r="G153" s="3">
        <f t="shared" si="20"/>
        <v>-95533.487661661042</v>
      </c>
      <c r="H153" s="3"/>
      <c r="I153" s="18"/>
      <c r="J153" s="10">
        <f t="shared" si="21"/>
        <v>-2098984.0512912646</v>
      </c>
      <c r="K153" s="5"/>
    </row>
    <row r="154" spans="2:23" x14ac:dyDescent="0.25">
      <c r="B154" s="6" t="s">
        <v>167</v>
      </c>
      <c r="C154" s="7">
        <f t="shared" si="22"/>
        <v>-2003450.5636296037</v>
      </c>
      <c r="D154" s="3">
        <f t="shared" si="17"/>
        <v>731381.62171647965</v>
      </c>
      <c r="E154" s="5">
        <f t="shared" si="18"/>
        <v>1272068.9419131242</v>
      </c>
      <c r="F154" s="5">
        <f t="shared" si="19"/>
        <v>61159583.516244754</v>
      </c>
      <c r="G154" s="3">
        <f t="shared" si="20"/>
        <v>-93647.478687236828</v>
      </c>
      <c r="H154" s="3"/>
      <c r="I154" s="18"/>
      <c r="J154" s="10">
        <f t="shared" si="21"/>
        <v>-2097098.0423168405</v>
      </c>
      <c r="K154" s="5"/>
    </row>
    <row r="155" spans="2:23" x14ac:dyDescent="0.25">
      <c r="B155" s="6" t="s">
        <v>168</v>
      </c>
      <c r="C155" s="7">
        <f t="shared" si="22"/>
        <v>-2003450.5636296037</v>
      </c>
      <c r="D155" s="3">
        <f t="shared" si="17"/>
        <v>716479.43974564155</v>
      </c>
      <c r="E155" s="5">
        <f t="shared" si="18"/>
        <v>1286971.1238839622</v>
      </c>
      <c r="F155" s="5">
        <f t="shared" si="19"/>
        <v>59872612.392360792</v>
      </c>
      <c r="G155" s="3">
        <f t="shared" si="20"/>
        <v>-91739.375274367121</v>
      </c>
      <c r="H155" s="3"/>
      <c r="I155" s="18"/>
      <c r="J155" s="10">
        <f t="shared" si="21"/>
        <v>-2095189.9389039709</v>
      </c>
      <c r="K155" s="5"/>
    </row>
    <row r="156" spans="2:23" x14ac:dyDescent="0.25">
      <c r="B156" s="6" t="s">
        <v>169</v>
      </c>
      <c r="C156" s="7">
        <f t="shared" si="22"/>
        <v>-2003450.5636296037</v>
      </c>
      <c r="D156" s="3">
        <f t="shared" si="17"/>
        <v>701402.6799510906</v>
      </c>
      <c r="E156" s="5">
        <f t="shared" si="18"/>
        <v>1302047.8836785131</v>
      </c>
      <c r="F156" s="5">
        <f t="shared" si="19"/>
        <v>58570564.508682281</v>
      </c>
      <c r="G156" s="3">
        <f t="shared" si="20"/>
        <v>-89808.918588541186</v>
      </c>
      <c r="H156" s="3"/>
      <c r="I156" s="18"/>
      <c r="J156" s="10">
        <f t="shared" si="21"/>
        <v>-2093259.4822181449</v>
      </c>
      <c r="K156" s="5"/>
    </row>
    <row r="157" spans="2:23" x14ac:dyDescent="0.25">
      <c r="B157" s="6" t="s">
        <v>170</v>
      </c>
      <c r="C157" s="7">
        <f t="shared" si="22"/>
        <v>-2003450.5636296037</v>
      </c>
      <c r="D157" s="3">
        <f t="shared" si="17"/>
        <v>686149.29716812586</v>
      </c>
      <c r="E157" s="5">
        <f t="shared" si="18"/>
        <v>1317301.2664614778</v>
      </c>
      <c r="F157" s="5">
        <f t="shared" si="19"/>
        <v>57253263.242220804</v>
      </c>
      <c r="G157" s="3">
        <f t="shared" si="20"/>
        <v>-87855.846763023423</v>
      </c>
      <c r="H157" s="3"/>
      <c r="I157" s="18"/>
      <c r="J157" s="10">
        <f t="shared" si="21"/>
        <v>-2091306.4103926271</v>
      </c>
      <c r="K157" s="5"/>
    </row>
    <row r="158" spans="2:23" x14ac:dyDescent="0.25">
      <c r="B158" s="6" t="s">
        <v>171</v>
      </c>
      <c r="C158" s="7">
        <f t="shared" si="22"/>
        <v>-2003450.5636296037</v>
      </c>
      <c r="D158" s="3">
        <f t="shared" si="17"/>
        <v>670717.22227311204</v>
      </c>
      <c r="E158" s="5">
        <f t="shared" si="18"/>
        <v>1332733.3413564917</v>
      </c>
      <c r="F158" s="5">
        <f t="shared" si="19"/>
        <v>55920529.900864311</v>
      </c>
      <c r="G158" s="3">
        <f t="shared" si="20"/>
        <v>-85879.89486333121</v>
      </c>
      <c r="H158" s="3"/>
      <c r="I158" s="18"/>
      <c r="J158" s="10">
        <f t="shared" si="21"/>
        <v>-2089330.4584929349</v>
      </c>
      <c r="K158" s="5"/>
    </row>
    <row r="159" spans="2:23" x14ac:dyDescent="0.25">
      <c r="B159" s="6" t="s">
        <v>172</v>
      </c>
      <c r="C159" s="7">
        <f t="shared" si="22"/>
        <v>-2003450.5636296037</v>
      </c>
      <c r="D159" s="3">
        <f t="shared" si="17"/>
        <v>655104.36190280213</v>
      </c>
      <c r="E159" s="5">
        <f t="shared" si="18"/>
        <v>1348346.2017268017</v>
      </c>
      <c r="F159" s="5">
        <f t="shared" si="19"/>
        <v>54572183.699137509</v>
      </c>
      <c r="G159" s="3">
        <f t="shared" si="20"/>
        <v>-83880.794851296465</v>
      </c>
      <c r="H159" s="3"/>
      <c r="I159" s="18"/>
      <c r="J159" s="10">
        <f t="shared" si="21"/>
        <v>-2087331.3584809001</v>
      </c>
      <c r="K159" s="5"/>
    </row>
    <row r="160" spans="2:23" x14ac:dyDescent="0.25">
      <c r="B160" s="6" t="s">
        <v>173</v>
      </c>
      <c r="C160" s="7">
        <f t="shared" si="22"/>
        <v>-2003450.5636296037</v>
      </c>
      <c r="D160" s="3">
        <f t="shared" si="17"/>
        <v>639308.59817037277</v>
      </c>
      <c r="E160" s="5">
        <f t="shared" si="18"/>
        <v>1364141.9654592308</v>
      </c>
      <c r="F160" s="5">
        <f t="shared" si="19"/>
        <v>53208041.733678281</v>
      </c>
      <c r="G160" s="3">
        <f t="shared" si="20"/>
        <v>-81858.275548706268</v>
      </c>
      <c r="H160" s="3"/>
      <c r="I160" s="18"/>
      <c r="J160" s="10">
        <f t="shared" si="21"/>
        <v>-2085308.83917831</v>
      </c>
      <c r="K160" s="5"/>
    </row>
    <row r="161" spans="2:11" x14ac:dyDescent="0.25">
      <c r="B161" s="6" t="s">
        <v>174</v>
      </c>
      <c r="C161" s="7">
        <f t="shared" si="22"/>
        <v>-2003450.5636296037</v>
      </c>
      <c r="D161" s="3">
        <f t="shared" ref="D161:D188" si="23">+F160*$B$7</f>
        <v>623327.78837813251</v>
      </c>
      <c r="E161" s="5">
        <f t="shared" ref="E161:E188" si="24">+-C161-D161</f>
        <v>1380122.7752514712</v>
      </c>
      <c r="F161" s="5">
        <f t="shared" ref="F161:F188" si="25">+F160-E161</f>
        <v>51827918.958426811</v>
      </c>
      <c r="G161" s="3">
        <f t="shared" ref="G161:G188" si="26">+-F160/1000000*$B$8</f>
        <v>-79812.062600517413</v>
      </c>
      <c r="H161" s="3"/>
      <c r="I161" s="18"/>
      <c r="J161" s="10">
        <f t="shared" ref="J161:J188" si="27">+C161+G161</f>
        <v>-2083262.6262301211</v>
      </c>
      <c r="K161" s="5"/>
    </row>
    <row r="162" spans="2:11" x14ac:dyDescent="0.25">
      <c r="B162" s="6" t="s">
        <v>175</v>
      </c>
      <c r="C162" s="7">
        <f t="shared" si="22"/>
        <v>-2003450.5636296037</v>
      </c>
      <c r="D162" s="3">
        <f t="shared" si="23"/>
        <v>607159.76472686406</v>
      </c>
      <c r="E162" s="5">
        <f t="shared" si="24"/>
        <v>1396290.7989027398</v>
      </c>
      <c r="F162" s="5">
        <f t="shared" si="25"/>
        <v>50431628.159524068</v>
      </c>
      <c r="G162" s="3">
        <f t="shared" si="26"/>
        <v>-77741.878437640218</v>
      </c>
      <c r="H162" s="3"/>
      <c r="I162" s="18"/>
      <c r="J162" s="10">
        <f t="shared" si="27"/>
        <v>-2081192.4420672439</v>
      </c>
      <c r="K162" s="5"/>
    </row>
    <row r="163" spans="2:11" x14ac:dyDescent="0.25">
      <c r="B163" s="6" t="s">
        <v>176</v>
      </c>
      <c r="C163" s="7">
        <f t="shared" si="22"/>
        <v>-2003450.5636296037</v>
      </c>
      <c r="D163" s="3">
        <f t="shared" si="23"/>
        <v>590802.33402176271</v>
      </c>
      <c r="E163" s="5">
        <f t="shared" si="24"/>
        <v>1412648.229607841</v>
      </c>
      <c r="F163" s="5">
        <f t="shared" si="25"/>
        <v>49018979.929916225</v>
      </c>
      <c r="G163" s="3">
        <f t="shared" si="26"/>
        <v>-75647.442239286102</v>
      </c>
      <c r="H163" s="3"/>
      <c r="I163" s="18"/>
      <c r="J163" s="10">
        <f t="shared" si="27"/>
        <v>-2079098.0058688899</v>
      </c>
      <c r="K163" s="5"/>
    </row>
    <row r="164" spans="2:11" x14ac:dyDescent="0.25">
      <c r="B164" s="6" t="s">
        <v>177</v>
      </c>
      <c r="C164" s="7">
        <f t="shared" si="22"/>
        <v>-2003450.5636296037</v>
      </c>
      <c r="D164" s="3">
        <f t="shared" si="23"/>
        <v>574253.27737492882</v>
      </c>
      <c r="E164" s="5">
        <f t="shared" si="24"/>
        <v>1429197.2862546749</v>
      </c>
      <c r="F164" s="5">
        <f t="shared" si="25"/>
        <v>47589782.643661551</v>
      </c>
      <c r="G164" s="3">
        <f t="shared" si="26"/>
        <v>-73528.469894874346</v>
      </c>
      <c r="H164" s="3"/>
      <c r="I164" s="18"/>
      <c r="J164" s="10">
        <f t="shared" si="27"/>
        <v>-2076979.0335244781</v>
      </c>
      <c r="K164" s="5"/>
    </row>
    <row r="165" spans="2:11" x14ac:dyDescent="0.25">
      <c r="B165" s="6" t="s">
        <v>178</v>
      </c>
      <c r="C165" s="7">
        <f t="shared" si="22"/>
        <v>-2003450.5636296037</v>
      </c>
      <c r="D165" s="3">
        <f t="shared" si="23"/>
        <v>557510.34990437538</v>
      </c>
      <c r="E165" s="5">
        <f t="shared" si="24"/>
        <v>1445940.2137252283</v>
      </c>
      <c r="F165" s="5">
        <f t="shared" si="25"/>
        <v>46143842.42993632</v>
      </c>
      <c r="G165" s="3">
        <f t="shared" si="26"/>
        <v>-71384.673965492329</v>
      </c>
      <c r="H165" s="3"/>
      <c r="I165" s="18"/>
      <c r="J165" s="10">
        <f t="shared" si="27"/>
        <v>-2074835.237595096</v>
      </c>
      <c r="K165" s="5"/>
    </row>
    <row r="166" spans="2:11" x14ac:dyDescent="0.25">
      <c r="B166" s="6" t="s">
        <v>179</v>
      </c>
      <c r="C166" s="7">
        <f t="shared" si="22"/>
        <v>-2003450.5636296037</v>
      </c>
      <c r="D166" s="3">
        <f t="shared" si="23"/>
        <v>540571.28042950924</v>
      </c>
      <c r="E166" s="5">
        <f t="shared" si="24"/>
        <v>1462879.2832000945</v>
      </c>
      <c r="F166" s="5">
        <f t="shared" si="25"/>
        <v>44680963.146736227</v>
      </c>
      <c r="G166" s="3">
        <f t="shared" si="26"/>
        <v>-69215.76364490448</v>
      </c>
      <c r="H166" s="3"/>
      <c r="I166" s="18"/>
      <c r="J166" s="10">
        <f t="shared" si="27"/>
        <v>-2072666.3272745083</v>
      </c>
      <c r="K166" s="5"/>
    </row>
    <row r="167" spans="2:11" x14ac:dyDescent="0.25">
      <c r="B167" s="6" t="s">
        <v>180</v>
      </c>
      <c r="C167" s="7">
        <f t="shared" si="22"/>
        <v>-2003450.5636296037</v>
      </c>
      <c r="D167" s="3">
        <f t="shared" si="23"/>
        <v>523433.77116304555</v>
      </c>
      <c r="E167" s="5">
        <f t="shared" si="24"/>
        <v>1480016.7924665581</v>
      </c>
      <c r="F167" s="5">
        <f t="shared" si="25"/>
        <v>43200946.354269668</v>
      </c>
      <c r="G167" s="3">
        <f t="shared" si="26"/>
        <v>-67021.444720104337</v>
      </c>
      <c r="H167" s="3"/>
      <c r="I167" s="18"/>
      <c r="J167" s="10">
        <f t="shared" si="27"/>
        <v>-2070472.008349708</v>
      </c>
      <c r="K167" s="5"/>
    </row>
    <row r="168" spans="2:11" x14ac:dyDescent="0.25">
      <c r="B168" s="6" t="s">
        <v>181</v>
      </c>
      <c r="C168" s="7">
        <f t="shared" si="22"/>
        <v>-2003450.5636296037</v>
      </c>
      <c r="D168" s="3">
        <f t="shared" si="23"/>
        <v>506095.49739931192</v>
      </c>
      <c r="E168" s="5">
        <f t="shared" si="24"/>
        <v>1497355.0662302917</v>
      </c>
      <c r="F168" s="5">
        <f t="shared" si="25"/>
        <v>41703591.288039379</v>
      </c>
      <c r="G168" s="3">
        <f t="shared" si="26"/>
        <v>-64801.419531404499</v>
      </c>
      <c r="H168" s="3"/>
      <c r="I168" s="18"/>
      <c r="J168" s="10">
        <f t="shared" si="27"/>
        <v>-2068251.9831610082</v>
      </c>
      <c r="K168" s="5"/>
    </row>
    <row r="169" spans="2:11" x14ac:dyDescent="0.25">
      <c r="B169" s="6" t="s">
        <v>182</v>
      </c>
      <c r="C169" s="7">
        <f t="shared" si="22"/>
        <v>-2003450.5636296037</v>
      </c>
      <c r="D169" s="3">
        <f t="shared" si="23"/>
        <v>488554.10719890252</v>
      </c>
      <c r="E169" s="5">
        <f t="shared" si="24"/>
        <v>1514896.4564307011</v>
      </c>
      <c r="F169" s="5">
        <f t="shared" si="25"/>
        <v>40188694.831608675</v>
      </c>
      <c r="G169" s="3">
        <f t="shared" si="26"/>
        <v>-62555.386932059067</v>
      </c>
      <c r="H169" s="3"/>
      <c r="I169" s="18"/>
      <c r="J169" s="10">
        <f t="shared" si="27"/>
        <v>-2066005.9505616627</v>
      </c>
      <c r="K169" s="5"/>
    </row>
    <row r="170" spans="2:11" x14ac:dyDescent="0.25">
      <c r="B170" s="6" t="s">
        <v>183</v>
      </c>
      <c r="C170" s="7">
        <f t="shared" si="22"/>
        <v>-2003450.5636296037</v>
      </c>
      <c r="D170" s="3">
        <f t="shared" si="23"/>
        <v>470807.22106963652</v>
      </c>
      <c r="E170" s="5">
        <f t="shared" si="24"/>
        <v>1532643.3425599672</v>
      </c>
      <c r="F170" s="5">
        <f t="shared" si="25"/>
        <v>38656051.489048705</v>
      </c>
      <c r="G170" s="3">
        <f t="shared" si="26"/>
        <v>-60283.042247413017</v>
      </c>
      <c r="H170" s="3"/>
      <c r="I170" s="18"/>
      <c r="J170" s="10">
        <f t="shared" si="27"/>
        <v>-2063733.6058770167</v>
      </c>
      <c r="K170" s="5"/>
    </row>
    <row r="171" spans="2:11" x14ac:dyDescent="0.25">
      <c r="B171" s="6" t="s">
        <v>184</v>
      </c>
      <c r="C171" s="7">
        <f t="shared" si="22"/>
        <v>-2003450.5636296037</v>
      </c>
      <c r="D171" s="3">
        <f t="shared" si="23"/>
        <v>452852.43164378009</v>
      </c>
      <c r="E171" s="5">
        <f t="shared" si="24"/>
        <v>1550598.1319858236</v>
      </c>
      <c r="F171" s="5">
        <f t="shared" si="25"/>
        <v>37105453.357062884</v>
      </c>
      <c r="G171" s="3">
        <f t="shared" si="26"/>
        <v>-57984.077233573058</v>
      </c>
      <c r="H171" s="3"/>
      <c r="I171" s="18"/>
      <c r="J171" s="10">
        <f t="shared" si="27"/>
        <v>-2061434.6408631767</v>
      </c>
      <c r="K171" s="5"/>
    </row>
    <row r="172" spans="2:11" x14ac:dyDescent="0.25">
      <c r="B172" s="6" t="s">
        <v>185</v>
      </c>
      <c r="C172" s="7">
        <f t="shared" si="22"/>
        <v>-2003450.5636296037</v>
      </c>
      <c r="D172" s="3">
        <f t="shared" si="23"/>
        <v>434687.30335148639</v>
      </c>
      <c r="E172" s="5">
        <f t="shared" si="24"/>
        <v>1568763.2602781174</v>
      </c>
      <c r="F172" s="5">
        <f t="shared" si="25"/>
        <v>35536690.096784763</v>
      </c>
      <c r="G172" s="3">
        <f t="shared" si="26"/>
        <v>-55658.180035594327</v>
      </c>
      <c r="H172" s="3"/>
      <c r="I172" s="18"/>
      <c r="J172" s="10">
        <f t="shared" si="27"/>
        <v>-2059108.7436651981</v>
      </c>
      <c r="K172" s="5"/>
    </row>
    <row r="173" spans="2:11" x14ac:dyDescent="0.25">
      <c r="B173" s="6" t="s">
        <v>186</v>
      </c>
      <c r="C173" s="7">
        <f t="shared" si="22"/>
        <v>-2003450.5636296037</v>
      </c>
      <c r="D173" s="3">
        <f t="shared" si="23"/>
        <v>416309.37209040986</v>
      </c>
      <c r="E173" s="5">
        <f t="shared" si="24"/>
        <v>1587141.191539194</v>
      </c>
      <c r="F173" s="5">
        <f t="shared" si="25"/>
        <v>33949548.905245572</v>
      </c>
      <c r="G173" s="3">
        <f t="shared" si="26"/>
        <v>-53305.035145177142</v>
      </c>
      <c r="H173" s="3"/>
      <c r="I173" s="18"/>
      <c r="J173" s="10">
        <f t="shared" si="27"/>
        <v>-2056755.5987747808</v>
      </c>
      <c r="K173" s="5"/>
    </row>
    <row r="174" spans="2:11" x14ac:dyDescent="0.25">
      <c r="B174" s="6" t="s">
        <v>187</v>
      </c>
      <c r="C174" s="7">
        <f t="shared" si="22"/>
        <v>-2003450.5636296037</v>
      </c>
      <c r="D174" s="3">
        <f t="shared" si="23"/>
        <v>397716.14489145117</v>
      </c>
      <c r="E174" s="5">
        <f t="shared" si="24"/>
        <v>1605734.4187381526</v>
      </c>
      <c r="F174" s="5">
        <f t="shared" si="25"/>
        <v>32343814.486507419</v>
      </c>
      <c r="G174" s="3">
        <f t="shared" si="26"/>
        <v>-50924.323357868358</v>
      </c>
      <c r="H174" s="3"/>
      <c r="I174" s="18"/>
      <c r="J174" s="10">
        <f t="shared" si="27"/>
        <v>-2054374.886987472</v>
      </c>
      <c r="K174" s="5"/>
    </row>
    <row r="175" spans="2:11" x14ac:dyDescent="0.25">
      <c r="B175" s="6" t="s">
        <v>188</v>
      </c>
      <c r="C175" s="7">
        <f t="shared" si="22"/>
        <v>-2003450.5636296037</v>
      </c>
      <c r="D175" s="3">
        <f t="shared" si="23"/>
        <v>378905.09958058462</v>
      </c>
      <c r="E175" s="5">
        <f t="shared" si="24"/>
        <v>1624545.4640490192</v>
      </c>
      <c r="F175" s="5">
        <f t="shared" si="25"/>
        <v>30719269.022458401</v>
      </c>
      <c r="G175" s="3">
        <f t="shared" si="26"/>
        <v>-48515.721729761128</v>
      </c>
      <c r="H175" s="3"/>
      <c r="I175" s="18"/>
      <c r="J175" s="10">
        <f t="shared" si="27"/>
        <v>-2051966.2853593649</v>
      </c>
      <c r="K175" s="5"/>
    </row>
    <row r="176" spans="2:11" x14ac:dyDescent="0.25">
      <c r="B176" s="6" t="s">
        <v>189</v>
      </c>
      <c r="C176" s="7">
        <f t="shared" si="22"/>
        <v>-2003450.5636296037</v>
      </c>
      <c r="D176" s="3">
        <f t="shared" si="23"/>
        <v>359873.68443672569</v>
      </c>
      <c r="E176" s="5">
        <f t="shared" si="24"/>
        <v>1643576.879192878</v>
      </c>
      <c r="F176" s="5">
        <f t="shared" si="25"/>
        <v>29075692.143265523</v>
      </c>
      <c r="G176" s="3">
        <f t="shared" si="26"/>
        <v>-46078.903533687604</v>
      </c>
      <c r="H176" s="3"/>
      <c r="I176" s="18"/>
      <c r="J176" s="10">
        <f t="shared" si="27"/>
        <v>-2049529.4671632913</v>
      </c>
      <c r="K176" s="5"/>
    </row>
    <row r="177" spans="2:11" x14ac:dyDescent="0.25">
      <c r="B177" s="6" t="s">
        <v>190</v>
      </c>
      <c r="C177" s="7">
        <f t="shared" si="22"/>
        <v>-2003450.5636296037</v>
      </c>
      <c r="D177" s="3">
        <f t="shared" si="23"/>
        <v>340619.31784558925</v>
      </c>
      <c r="E177" s="5">
        <f t="shared" si="24"/>
        <v>1662831.2457840145</v>
      </c>
      <c r="F177" s="5">
        <f t="shared" si="25"/>
        <v>27412860.897481509</v>
      </c>
      <c r="G177" s="3">
        <f t="shared" si="26"/>
        <v>-43613.538214898283</v>
      </c>
      <c r="H177" s="3"/>
      <c r="I177" s="18"/>
      <c r="J177" s="10">
        <f t="shared" si="27"/>
        <v>-2047064.1018445019</v>
      </c>
      <c r="K177" s="5"/>
    </row>
    <row r="178" spans="2:11" x14ac:dyDescent="0.25">
      <c r="B178" s="6" t="s">
        <v>191</v>
      </c>
      <c r="C178" s="7">
        <f t="shared" si="22"/>
        <v>-2003450.5636296037</v>
      </c>
      <c r="D178" s="3">
        <f t="shared" si="23"/>
        <v>321139.38794949325</v>
      </c>
      <c r="E178" s="5">
        <f t="shared" si="24"/>
        <v>1682311.1756801105</v>
      </c>
      <c r="F178" s="5">
        <f t="shared" si="25"/>
        <v>25730549.721801396</v>
      </c>
      <c r="G178" s="3">
        <f t="shared" si="26"/>
        <v>-41119.291346222264</v>
      </c>
      <c r="H178" s="3"/>
      <c r="I178" s="18"/>
      <c r="J178" s="10">
        <f t="shared" si="27"/>
        <v>-2044569.8549758259</v>
      </c>
      <c r="K178" s="5"/>
    </row>
    <row r="179" spans="2:11" x14ac:dyDescent="0.25">
      <c r="B179" s="6" t="s">
        <v>192</v>
      </c>
      <c r="C179" s="7">
        <f t="shared" si="22"/>
        <v>-2003450.5636296037</v>
      </c>
      <c r="D179" s="3">
        <f t="shared" si="23"/>
        <v>301431.25229305984</v>
      </c>
      <c r="E179" s="5">
        <f t="shared" si="24"/>
        <v>1702019.3113365439</v>
      </c>
      <c r="F179" s="5">
        <f t="shared" si="25"/>
        <v>24028530.410464853</v>
      </c>
      <c r="G179" s="3">
        <f t="shared" si="26"/>
        <v>-38595.824582702095</v>
      </c>
      <c r="H179" s="3"/>
      <c r="I179" s="18"/>
      <c r="J179" s="10">
        <f t="shared" si="27"/>
        <v>-2042046.3882123057</v>
      </c>
      <c r="K179" s="5"/>
    </row>
    <row r="180" spans="2:11" x14ac:dyDescent="0.25">
      <c r="B180" s="6" t="s">
        <v>193</v>
      </c>
      <c r="C180" s="7">
        <f t="shared" si="22"/>
        <v>-2003450.5636296037</v>
      </c>
      <c r="D180" s="3">
        <f t="shared" si="23"/>
        <v>281492.23746476619</v>
      </c>
      <c r="E180" s="5">
        <f t="shared" si="24"/>
        <v>1721958.3261648375</v>
      </c>
      <c r="F180" s="5">
        <f t="shared" si="25"/>
        <v>22306572.084300015</v>
      </c>
      <c r="G180" s="3">
        <f t="shared" si="26"/>
        <v>-36042.79561569728</v>
      </c>
      <c r="H180" s="3"/>
      <c r="I180" s="18"/>
      <c r="J180" s="10">
        <f t="shared" si="27"/>
        <v>-2039493.359245301</v>
      </c>
      <c r="K180" s="5"/>
    </row>
    <row r="181" spans="2:11" x14ac:dyDescent="0.25">
      <c r="B181" s="6" t="s">
        <v>194</v>
      </c>
      <c r="C181" s="7">
        <f t="shared" si="22"/>
        <v>-2003450.5636296037</v>
      </c>
      <c r="D181" s="3">
        <f t="shared" si="23"/>
        <v>261319.63873429532</v>
      </c>
      <c r="E181" s="5">
        <f t="shared" si="24"/>
        <v>1742130.9248953084</v>
      </c>
      <c r="F181" s="5">
        <f t="shared" si="25"/>
        <v>20564441.159404706</v>
      </c>
      <c r="G181" s="3">
        <f t="shared" si="26"/>
        <v>-33459.858126450024</v>
      </c>
      <c r="H181" s="3"/>
      <c r="I181" s="18"/>
      <c r="J181" s="10">
        <f t="shared" si="27"/>
        <v>-2036910.4217560538</v>
      </c>
      <c r="K181" s="5"/>
    </row>
    <row r="182" spans="2:11" x14ac:dyDescent="0.25">
      <c r="B182" s="6" t="s">
        <v>195</v>
      </c>
      <c r="C182" s="7">
        <f t="shared" si="22"/>
        <v>-2003450.5636296037</v>
      </c>
      <c r="D182" s="3">
        <f t="shared" si="23"/>
        <v>240910.71968563946</v>
      </c>
      <c r="E182" s="5">
        <f t="shared" si="24"/>
        <v>1762539.8439439642</v>
      </c>
      <c r="F182" s="5">
        <f t="shared" si="25"/>
        <v>18801901.315460742</v>
      </c>
      <c r="G182" s="3">
        <f t="shared" si="26"/>
        <v>-30846.661739107058</v>
      </c>
      <c r="H182" s="3"/>
      <c r="I182" s="18"/>
      <c r="J182" s="10">
        <f t="shared" si="27"/>
        <v>-2034297.2253687107</v>
      </c>
      <c r="K182" s="5"/>
    </row>
    <row r="183" spans="2:11" x14ac:dyDescent="0.25">
      <c r="B183" s="6" t="s">
        <v>196</v>
      </c>
      <c r="C183" s="7">
        <f t="shared" si="22"/>
        <v>-2003450.5636296037</v>
      </c>
      <c r="D183" s="3">
        <f t="shared" si="23"/>
        <v>220262.71184590456</v>
      </c>
      <c r="E183" s="5">
        <f t="shared" si="24"/>
        <v>1783187.8517836991</v>
      </c>
      <c r="F183" s="5">
        <f t="shared" si="25"/>
        <v>17018713.463677041</v>
      </c>
      <c r="G183" s="3">
        <f t="shared" si="26"/>
        <v>-28202.851973191115</v>
      </c>
      <c r="H183" s="3"/>
      <c r="I183" s="18"/>
      <c r="J183" s="10">
        <f t="shared" si="27"/>
        <v>-2031653.4156027948</v>
      </c>
      <c r="K183" s="5"/>
    </row>
    <row r="184" spans="2:11" x14ac:dyDescent="0.25">
      <c r="B184" s="6" t="s">
        <v>197</v>
      </c>
      <c r="C184" s="7">
        <f t="shared" si="22"/>
        <v>-2003450.5636296037</v>
      </c>
      <c r="D184" s="3">
        <f t="shared" si="23"/>
        <v>199372.81430976669</v>
      </c>
      <c r="E184" s="5">
        <f t="shared" si="24"/>
        <v>1804077.749319837</v>
      </c>
      <c r="F184" s="5">
        <f t="shared" si="25"/>
        <v>15214635.714357205</v>
      </c>
      <c r="G184" s="3">
        <f t="shared" si="26"/>
        <v>-25528.070195515564</v>
      </c>
      <c r="H184" s="3"/>
      <c r="I184" s="18"/>
      <c r="J184" s="10">
        <f t="shared" si="27"/>
        <v>-2028978.6338251194</v>
      </c>
      <c r="K184" s="5"/>
    </row>
    <row r="185" spans="2:11" x14ac:dyDescent="0.25">
      <c r="B185" s="6" t="s">
        <v>198</v>
      </c>
      <c r="C185" s="7">
        <f t="shared" si="22"/>
        <v>-2003450.5636296037</v>
      </c>
      <c r="D185" s="3">
        <f t="shared" si="23"/>
        <v>178238.19335952873</v>
      </c>
      <c r="E185" s="5">
        <f t="shared" si="24"/>
        <v>1825212.370270075</v>
      </c>
      <c r="F185" s="5">
        <f t="shared" si="25"/>
        <v>13389423.344087129</v>
      </c>
      <c r="G185" s="3">
        <f t="shared" si="26"/>
        <v>-22821.953571535807</v>
      </c>
      <c r="H185" s="3"/>
      <c r="I185" s="18"/>
      <c r="J185" s="10">
        <f t="shared" si="27"/>
        <v>-2026272.5172011396</v>
      </c>
      <c r="K185" s="5"/>
    </row>
    <row r="186" spans="2:11" x14ac:dyDescent="0.25">
      <c r="B186" s="6" t="s">
        <v>199</v>
      </c>
      <c r="C186" s="7">
        <f t="shared" si="22"/>
        <v>-2003450.5636296037</v>
      </c>
      <c r="D186" s="3">
        <f t="shared" si="23"/>
        <v>156855.98208072613</v>
      </c>
      <c r="E186" s="5">
        <f t="shared" si="24"/>
        <v>1846594.5815488775</v>
      </c>
      <c r="F186" s="5">
        <f t="shared" si="25"/>
        <v>11542828.762538252</v>
      </c>
      <c r="G186" s="3">
        <f t="shared" si="26"/>
        <v>-20084.135016130695</v>
      </c>
      <c r="H186" s="3"/>
      <c r="I186" s="18"/>
      <c r="J186" s="10">
        <f t="shared" si="27"/>
        <v>-2023534.6986457345</v>
      </c>
      <c r="K186" s="5"/>
    </row>
    <row r="187" spans="2:11" x14ac:dyDescent="0.25">
      <c r="B187" s="6" t="s">
        <v>200</v>
      </c>
      <c r="C187" s="7">
        <f t="shared" si="22"/>
        <v>-2003450.5636296037</v>
      </c>
      <c r="D187" s="3">
        <f t="shared" si="23"/>
        <v>135223.27997322963</v>
      </c>
      <c r="E187" s="5">
        <f t="shared" si="24"/>
        <v>1868227.2836563741</v>
      </c>
      <c r="F187" s="5">
        <f t="shared" si="25"/>
        <v>9674601.4788818788</v>
      </c>
      <c r="G187" s="3">
        <f t="shared" si="26"/>
        <v>-17314.24314380738</v>
      </c>
      <c r="H187" s="3"/>
      <c r="I187" s="18"/>
      <c r="J187" s="10">
        <f t="shared" si="27"/>
        <v>-2020764.8067734111</v>
      </c>
      <c r="K187" s="5"/>
    </row>
    <row r="188" spans="2:11" x14ac:dyDescent="0.25">
      <c r="B188" s="6" t="s">
        <v>201</v>
      </c>
      <c r="C188" s="7">
        <f t="shared" si="22"/>
        <v>-2003450.5636296037</v>
      </c>
      <c r="D188" s="3">
        <f t="shared" si="23"/>
        <v>113337.15255779185</v>
      </c>
      <c r="E188" s="5">
        <f t="shared" si="24"/>
        <v>1890113.4110718118</v>
      </c>
      <c r="F188" s="5">
        <f t="shared" si="25"/>
        <v>7784488.067810067</v>
      </c>
      <c r="G188" s="3">
        <f t="shared" si="26"/>
        <v>-14511.902218322819</v>
      </c>
      <c r="H188" s="3"/>
      <c r="I188" s="18"/>
      <c r="J188" s="10">
        <f t="shared" si="27"/>
        <v>-2017962.4658479264</v>
      </c>
      <c r="K188" s="5"/>
    </row>
    <row r="189" spans="2:11" x14ac:dyDescent="0.25">
      <c r="B189" s="6" t="s">
        <v>202</v>
      </c>
      <c r="C189" s="7">
        <f t="shared" si="22"/>
        <v>-2003450.5636296037</v>
      </c>
      <c r="D189" s="3">
        <f t="shared" ref="D189:D191" si="28">+F188*$B$7</f>
        <v>91194.630977984896</v>
      </c>
      <c r="E189" s="5">
        <f t="shared" ref="E189:E191" si="29">+-C189-D189</f>
        <v>1912255.9326516187</v>
      </c>
      <c r="F189" s="5">
        <f t="shared" ref="F189:F191" si="30">+F188-E189</f>
        <v>5872232.1351584485</v>
      </c>
      <c r="G189" s="3">
        <f t="shared" ref="G189:G191" si="31">+-F188/1000000*$B$8</f>
        <v>-11676.732101715101</v>
      </c>
      <c r="H189" s="3"/>
      <c r="I189" s="18"/>
      <c r="J189" s="10">
        <f t="shared" ref="J189:J191" si="32">+C189+G189</f>
        <v>-2015127.2957313189</v>
      </c>
      <c r="K189" s="5"/>
    </row>
    <row r="190" spans="2:11" x14ac:dyDescent="0.25">
      <c r="B190" s="6" t="s">
        <v>203</v>
      </c>
      <c r="C190" s="7">
        <f t="shared" si="22"/>
        <v>-2003450.5636296037</v>
      </c>
      <c r="D190" s="3">
        <f t="shared" si="28"/>
        <v>68792.711597474452</v>
      </c>
      <c r="E190" s="5">
        <f t="shared" si="29"/>
        <v>1934657.8520321292</v>
      </c>
      <c r="F190" s="5">
        <f t="shared" si="30"/>
        <v>3937574.2831263193</v>
      </c>
      <c r="G190" s="3">
        <f t="shared" si="31"/>
        <v>-8808.3482027376722</v>
      </c>
      <c r="H190" s="3"/>
      <c r="I190" s="18"/>
      <c r="J190" s="10">
        <f t="shared" si="32"/>
        <v>-2012258.9118323415</v>
      </c>
      <c r="K190" s="5"/>
    </row>
    <row r="191" spans="2:11" x14ac:dyDescent="0.25">
      <c r="B191" s="6" t="s">
        <v>204</v>
      </c>
      <c r="C191" s="7">
        <f t="shared" si="22"/>
        <v>-2003450.5636296037</v>
      </c>
      <c r="D191" s="3">
        <f t="shared" si="28"/>
        <v>46128.355592576059</v>
      </c>
      <c r="E191" s="5">
        <f t="shared" si="29"/>
        <v>1957322.2080370276</v>
      </c>
      <c r="F191" s="5">
        <f t="shared" si="30"/>
        <v>1980252.0750892917</v>
      </c>
      <c r="G191" s="3">
        <f t="shared" si="31"/>
        <v>-5906.3614246894795</v>
      </c>
      <c r="H191" s="3"/>
      <c r="I191" s="18"/>
      <c r="J191" s="10">
        <f t="shared" si="32"/>
        <v>-2009356.9250542931</v>
      </c>
      <c r="K191" s="5"/>
    </row>
    <row r="192" spans="2:11" x14ac:dyDescent="0.25">
      <c r="B192" s="6" t="s">
        <v>205</v>
      </c>
      <c r="C192" s="7">
        <f t="shared" si="22"/>
        <v>-2003450.5636296037</v>
      </c>
      <c r="D192" s="3">
        <f t="shared" ref="D192" si="33">+F191*$B$7</f>
        <v>23198.48854003831</v>
      </c>
      <c r="E192" s="5">
        <f t="shared" ref="E192" si="34">+-C192-D192</f>
        <v>1980252.0750895655</v>
      </c>
      <c r="F192" s="5">
        <f t="shared" ref="F192" si="35">+F191-E192</f>
        <v>-2.7380883693695068E-7</v>
      </c>
      <c r="G192" s="3">
        <f t="shared" ref="G192" si="36">+-F191/1000000*$B$8</f>
        <v>-2970.3781126339372</v>
      </c>
      <c r="H192" s="3"/>
      <c r="I192" s="18"/>
      <c r="J192" s="10">
        <f>+C192+G192</f>
        <v>-2006420.9417422377</v>
      </c>
    </row>
    <row r="193" spans="2:10" x14ac:dyDescent="0.25">
      <c r="B193" s="6"/>
      <c r="C193" s="7"/>
      <c r="D193" s="3"/>
      <c r="E193" s="5"/>
      <c r="F193" s="5"/>
      <c r="G193" s="3"/>
      <c r="H193" s="3"/>
      <c r="I193" s="18"/>
      <c r="J193" s="1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U67"/>
  <sheetViews>
    <sheetView showGridLines="0" topLeftCell="U1" zoomScale="80" zoomScaleNormal="80" workbookViewId="0">
      <selection activeCell="H14" sqref="H14"/>
    </sheetView>
  </sheetViews>
  <sheetFormatPr baseColWidth="10" defaultRowHeight="15" x14ac:dyDescent="0.25"/>
  <cols>
    <col min="1" max="1" width="16.28515625" bestFit="1" customWidth="1"/>
    <col min="2" max="2" width="14.28515625" bestFit="1" customWidth="1"/>
    <col min="3" max="29" width="14.28515625" customWidth="1"/>
    <col min="30" max="30" width="15.5703125" bestFit="1" customWidth="1"/>
    <col min="32" max="32" width="12" bestFit="1" customWidth="1"/>
    <col min="33" max="33" width="12.7109375" bestFit="1" customWidth="1"/>
    <col min="35" max="35" width="1.28515625" style="14" customWidth="1"/>
    <col min="36" max="36" width="12" bestFit="1" customWidth="1"/>
    <col min="37" max="37" width="13.28515625" bestFit="1" customWidth="1"/>
    <col min="38" max="38" width="12.28515625" bestFit="1" customWidth="1"/>
    <col min="39" max="39" width="14.140625" bestFit="1" customWidth="1"/>
    <col min="40" max="40" width="9.5703125" bestFit="1" customWidth="1"/>
    <col min="41" max="41" width="13" bestFit="1" customWidth="1"/>
  </cols>
  <sheetData>
    <row r="2" spans="1:46" x14ac:dyDescent="0.25">
      <c r="A2" s="12" t="s">
        <v>0</v>
      </c>
      <c r="AL2" s="5"/>
    </row>
    <row r="3" spans="1:46" s="14" customFormat="1" x14ac:dyDescent="0.25">
      <c r="A3" s="16"/>
      <c r="AK3" s="20"/>
      <c r="AL3" s="20"/>
    </row>
    <row r="4" spans="1:46" s="14" customFormat="1" x14ac:dyDescent="0.25">
      <c r="A4" t="s">
        <v>100</v>
      </c>
      <c r="B4" s="3">
        <v>737717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K4" s="20"/>
      <c r="AL4" s="20"/>
    </row>
    <row r="5" spans="1:46" s="14" customFormat="1" x14ac:dyDescent="0.25">
      <c r="A5" t="s">
        <v>101</v>
      </c>
      <c r="B5" s="3">
        <f>+B4*2</f>
        <v>1475434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K5" s="20"/>
      <c r="AL5" s="20"/>
    </row>
    <row r="6" spans="1:46" s="14" customFormat="1" x14ac:dyDescent="0.25">
      <c r="A6" s="16"/>
      <c r="AK6" s="20"/>
      <c r="AL6" s="20"/>
    </row>
    <row r="7" spans="1:46" s="14" customFormat="1" x14ac:dyDescent="0.25">
      <c r="A7" s="16"/>
      <c r="AK7" s="20"/>
      <c r="AL7" s="20"/>
    </row>
    <row r="8" spans="1:46" s="14" customFormat="1" x14ac:dyDescent="0.25">
      <c r="A8" s="16"/>
      <c r="AK8" s="5"/>
      <c r="AL8" s="20"/>
    </row>
    <row r="9" spans="1:46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E9" s="3"/>
      <c r="AF9" s="3"/>
      <c r="AK9" s="5"/>
    </row>
    <row r="10" spans="1:46" x14ac:dyDescent="0.25"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J10" s="3"/>
      <c r="AK10" s="5"/>
      <c r="AO10" s="4"/>
      <c r="AQ10" s="2"/>
      <c r="AT10" s="3"/>
    </row>
    <row r="11" spans="1:46" x14ac:dyDescent="0.25">
      <c r="B11" s="5"/>
      <c r="C11" s="5"/>
      <c r="D11" s="21" t="s">
        <v>6</v>
      </c>
      <c r="E11" s="21" t="s">
        <v>7</v>
      </c>
      <c r="F11" s="21" t="s">
        <v>8</v>
      </c>
      <c r="G11" s="21" t="s">
        <v>9</v>
      </c>
      <c r="H11" s="21" t="s">
        <v>10</v>
      </c>
      <c r="I11" s="21" t="s">
        <v>11</v>
      </c>
      <c r="J11" s="21" t="s">
        <v>12</v>
      </c>
      <c r="K11" s="21" t="s">
        <v>13</v>
      </c>
      <c r="L11" s="21" t="s">
        <v>14</v>
      </c>
      <c r="M11" s="21" t="s">
        <v>15</v>
      </c>
      <c r="N11" s="21" t="s">
        <v>16</v>
      </c>
      <c r="O11" s="21" t="s">
        <v>17</v>
      </c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19"/>
      <c r="AJ11" s="2">
        <f>+IRR(AJ19:AJ31)</f>
        <v>3.3774539543645066E-2</v>
      </c>
      <c r="AK11" s="5"/>
    </row>
    <row r="12" spans="1:46" x14ac:dyDescent="0.25">
      <c r="A12" t="s">
        <v>93</v>
      </c>
      <c r="B12" s="2">
        <v>0.02</v>
      </c>
      <c r="C12" s="2"/>
      <c r="D12" s="2">
        <f>+B12</f>
        <v>0.02</v>
      </c>
      <c r="E12" s="2">
        <f>+D12</f>
        <v>0.02</v>
      </c>
      <c r="F12" s="2">
        <f t="shared" ref="F12:O12" si="0">+E12</f>
        <v>0.02</v>
      </c>
      <c r="G12" s="2">
        <f t="shared" si="0"/>
        <v>0.02</v>
      </c>
      <c r="H12" s="2">
        <f t="shared" si="0"/>
        <v>0.02</v>
      </c>
      <c r="I12" s="2">
        <f t="shared" si="0"/>
        <v>0.02</v>
      </c>
      <c r="J12" s="2">
        <f t="shared" si="0"/>
        <v>0.02</v>
      </c>
      <c r="K12" s="2">
        <f t="shared" si="0"/>
        <v>0.02</v>
      </c>
      <c r="L12" s="2">
        <f t="shared" si="0"/>
        <v>0.02</v>
      </c>
      <c r="M12" s="2">
        <f t="shared" si="0"/>
        <v>0.02</v>
      </c>
      <c r="N12" s="2">
        <f t="shared" si="0"/>
        <v>0.02</v>
      </c>
      <c r="O12" s="2">
        <f t="shared" si="0"/>
        <v>0.02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H12" s="1" t="s">
        <v>97</v>
      </c>
      <c r="AI12" s="15"/>
      <c r="AJ12" s="11">
        <f>+IRR(AJ19:AJ31)</f>
        <v>3.3774539543645066E-2</v>
      </c>
      <c r="AK12" s="2"/>
      <c r="AL12" s="2"/>
    </row>
    <row r="13" spans="1:46" x14ac:dyDescent="0.25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H13" s="12" t="s">
        <v>98</v>
      </c>
      <c r="AI13" s="16"/>
      <c r="AJ13" s="13">
        <f>+(1+AJ12)^(12)-1</f>
        <v>0.48973829765102406</v>
      </c>
      <c r="AK13" s="5"/>
      <c r="AL13" s="13"/>
    </row>
    <row r="14" spans="1:46" x14ac:dyDescent="0.25">
      <c r="A14" t="s">
        <v>107</v>
      </c>
      <c r="B14">
        <v>59900</v>
      </c>
      <c r="E14" s="24">
        <f>+E20-D20</f>
        <v>-122952.83333333326</v>
      </c>
      <c r="F14" s="24">
        <f t="shared" ref="F14:P14" si="1">+F20-E20</f>
        <v>-122952.83333333326</v>
      </c>
      <c r="G14" s="24">
        <f t="shared" si="1"/>
        <v>-122952.83333333326</v>
      </c>
      <c r="H14" s="24">
        <f t="shared" si="1"/>
        <v>-122952.83333333337</v>
      </c>
      <c r="I14" s="24">
        <f t="shared" si="1"/>
        <v>-122952.83333333337</v>
      </c>
      <c r="J14" s="24">
        <f t="shared" si="1"/>
        <v>-122952.83333333337</v>
      </c>
      <c r="K14" s="24">
        <f t="shared" si="1"/>
        <v>-122952.83333333337</v>
      </c>
      <c r="L14" s="24">
        <f t="shared" si="1"/>
        <v>-122952.83333333331</v>
      </c>
      <c r="M14" s="24">
        <f t="shared" si="1"/>
        <v>-122952.83333333331</v>
      </c>
      <c r="N14" s="24">
        <f t="shared" si="1"/>
        <v>-122952.83333333331</v>
      </c>
      <c r="O14" s="24">
        <f t="shared" si="1"/>
        <v>-122952.83333333333</v>
      </c>
      <c r="P14" s="24">
        <f t="shared" si="1"/>
        <v>-122952.83333333333</v>
      </c>
      <c r="AD14" t="s">
        <v>94</v>
      </c>
    </row>
    <row r="15" spans="1:46" x14ac:dyDescent="0.25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46" x14ac:dyDescent="0.25">
      <c r="D16" s="187" t="s">
        <v>102</v>
      </c>
      <c r="E16" s="187"/>
      <c r="F16" s="187"/>
      <c r="G16" s="187"/>
      <c r="H16" s="187"/>
      <c r="I16" s="187"/>
      <c r="J16" s="187"/>
      <c r="K16" s="187"/>
      <c r="L16" s="187"/>
      <c r="M16" s="187"/>
      <c r="N16" s="187"/>
      <c r="O16" s="187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t="s">
        <v>103</v>
      </c>
      <c r="AD16" s="9" t="s">
        <v>2</v>
      </c>
      <c r="AE16" s="9" t="s">
        <v>3</v>
      </c>
      <c r="AF16" s="9" t="s">
        <v>4</v>
      </c>
      <c r="AG16" s="9" t="s">
        <v>5</v>
      </c>
      <c r="AH16" s="9" t="s">
        <v>107</v>
      </c>
      <c r="AI16" s="17"/>
      <c r="AJ16" s="9" t="s">
        <v>96</v>
      </c>
    </row>
    <row r="17" spans="2:47" s="14" customFormat="1" ht="3" customHeight="1" x14ac:dyDescent="0.25"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D17" s="17"/>
      <c r="AE17" s="17"/>
      <c r="AF17" s="17"/>
      <c r="AG17" s="17"/>
      <c r="AH17" s="17"/>
      <c r="AI17" s="17"/>
      <c r="AJ17" s="17"/>
    </row>
    <row r="18" spans="2:47" x14ac:dyDescent="0.25">
      <c r="B18" s="26" t="s">
        <v>106</v>
      </c>
      <c r="C18" s="26"/>
      <c r="D18" s="21" t="s">
        <v>104</v>
      </c>
      <c r="E18" s="21" t="s">
        <v>6</v>
      </c>
      <c r="F18" s="21" t="s">
        <v>7</v>
      </c>
      <c r="G18" s="21" t="s">
        <v>8</v>
      </c>
      <c r="H18" s="21" t="s">
        <v>9</v>
      </c>
      <c r="I18" s="21" t="s">
        <v>10</v>
      </c>
      <c r="J18" s="21" t="s">
        <v>11</v>
      </c>
      <c r="K18" s="21" t="s">
        <v>12</v>
      </c>
      <c r="L18" s="21" t="s">
        <v>13</v>
      </c>
      <c r="M18" s="21" t="s">
        <v>14</v>
      </c>
      <c r="N18" s="21" t="s">
        <v>15</v>
      </c>
      <c r="O18" s="21" t="s">
        <v>16</v>
      </c>
      <c r="P18" s="21" t="s">
        <v>17</v>
      </c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6"/>
      <c r="AB18" s="6"/>
      <c r="AC18" s="6"/>
      <c r="AG18" s="5"/>
      <c r="AR18" s="5"/>
    </row>
    <row r="19" spans="2:47" x14ac:dyDescent="0.25">
      <c r="D19" s="25">
        <f>+SUM(D20:D32)</f>
        <v>1475434</v>
      </c>
      <c r="E19" s="25">
        <f t="shared" ref="E19:N19" si="2">+SUM(E20:E31)</f>
        <v>1475434</v>
      </c>
      <c r="F19" s="25">
        <f t="shared" si="2"/>
        <v>1475434</v>
      </c>
      <c r="G19" s="25">
        <f t="shared" si="2"/>
        <v>1475434</v>
      </c>
      <c r="H19" s="25">
        <f t="shared" si="2"/>
        <v>1475434</v>
      </c>
      <c r="I19" s="25">
        <f t="shared" si="2"/>
        <v>1475434</v>
      </c>
      <c r="J19" s="25">
        <f t="shared" si="2"/>
        <v>1475434</v>
      </c>
      <c r="K19" s="25">
        <f t="shared" si="2"/>
        <v>1475434</v>
      </c>
      <c r="L19" s="25">
        <f t="shared" si="2"/>
        <v>1475434</v>
      </c>
      <c r="M19" s="25">
        <f t="shared" si="2"/>
        <v>1475434</v>
      </c>
      <c r="N19" s="25">
        <f t="shared" si="2"/>
        <v>1475434</v>
      </c>
      <c r="O19" s="25">
        <f>+SUM(O20:O31)</f>
        <v>1475434</v>
      </c>
      <c r="P19" s="25">
        <f>+SUM(P20:P32)</f>
        <v>1475434</v>
      </c>
      <c r="AA19" s="8">
        <v>12</v>
      </c>
      <c r="AB19" s="3">
        <f>+AG19</f>
        <v>1475434</v>
      </c>
      <c r="AD19" s="7">
        <v>0</v>
      </c>
      <c r="AE19" s="3"/>
      <c r="AF19" s="5"/>
      <c r="AG19" s="5">
        <f t="array" ref="AG19:AG31">+TRANSPOSE(D19:P19)</f>
        <v>1475434</v>
      </c>
      <c r="AH19" s="3"/>
      <c r="AI19" s="18"/>
      <c r="AJ19" s="3">
        <f>+AG19</f>
        <v>1475434</v>
      </c>
      <c r="AM19" s="5"/>
      <c r="AO19" s="7"/>
      <c r="AP19" s="3"/>
      <c r="AQ19" s="5"/>
      <c r="AR19" s="5"/>
      <c r="AS19" s="3"/>
      <c r="AT19" s="3"/>
      <c r="AU19" s="5"/>
    </row>
    <row r="20" spans="2:47" x14ac:dyDescent="0.25">
      <c r="B20" s="6" t="s">
        <v>104</v>
      </c>
      <c r="C20" s="6"/>
      <c r="D20" s="8">
        <f>+B5</f>
        <v>1475434</v>
      </c>
      <c r="E20" s="3">
        <f t="shared" ref="E20:P20" si="3">+D20-$D$20/12</f>
        <v>1352481.1666666667</v>
      </c>
      <c r="F20" s="3">
        <f t="shared" si="3"/>
        <v>1229528.3333333335</v>
      </c>
      <c r="G20" s="3">
        <f t="shared" si="3"/>
        <v>1106575.5000000002</v>
      </c>
      <c r="H20" s="3">
        <f t="shared" si="3"/>
        <v>983622.66666666686</v>
      </c>
      <c r="I20" s="3">
        <f t="shared" si="3"/>
        <v>860669.83333333349</v>
      </c>
      <c r="J20" s="3">
        <f t="shared" si="3"/>
        <v>737717.00000000012</v>
      </c>
      <c r="K20" s="3">
        <f t="shared" si="3"/>
        <v>614764.16666666674</v>
      </c>
      <c r="L20" s="3">
        <f t="shared" si="3"/>
        <v>491811.33333333343</v>
      </c>
      <c r="M20" s="3">
        <f t="shared" si="3"/>
        <v>368858.50000000012</v>
      </c>
      <c r="N20" s="3">
        <f t="shared" si="3"/>
        <v>245905.6666666668</v>
      </c>
      <c r="O20" s="3">
        <f t="shared" si="3"/>
        <v>122952.83333333347</v>
      </c>
      <c r="P20" s="3">
        <f t="shared" si="3"/>
        <v>1.4551915228366852E-10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6"/>
      <c r="AB20" s="5">
        <f>-AF20-AE20</f>
        <v>-152461.51333333325</v>
      </c>
      <c r="AC20" s="6" t="s">
        <v>6</v>
      </c>
      <c r="AD20" s="31">
        <f>+-AF20-AE20+AF20</f>
        <v>-29508.679999999993</v>
      </c>
      <c r="AE20" s="3">
        <f t="array" ref="AE20:AE31">+TRANSPOSE(E53:P53)</f>
        <v>29508.68</v>
      </c>
      <c r="AF20" s="5">
        <f t="array" ref="AF20:AF31">+-TRANSPOSE(E35:P35)</f>
        <v>122952.83333333326</v>
      </c>
      <c r="AG20" s="5">
        <v>1475434</v>
      </c>
      <c r="AH20" s="3">
        <v>-59000</v>
      </c>
      <c r="AI20" s="18"/>
      <c r="AJ20" s="10">
        <f>+AD20+AH20</f>
        <v>-88508.68</v>
      </c>
      <c r="AK20" s="30">
        <f>+AE20/AG19</f>
        <v>0.02</v>
      </c>
      <c r="AM20" s="3"/>
      <c r="AO20" s="7"/>
      <c r="AP20" s="3"/>
      <c r="AQ20" s="5"/>
      <c r="AR20" s="5"/>
      <c r="AS20" s="3"/>
      <c r="AT20" s="3"/>
      <c r="AU20" s="5"/>
    </row>
    <row r="21" spans="2:47" x14ac:dyDescent="0.25">
      <c r="B21" s="6" t="s">
        <v>6</v>
      </c>
      <c r="C21" s="6"/>
      <c r="D21" s="6"/>
      <c r="E21" s="3">
        <f>+D20-E20</f>
        <v>122952.83333333326</v>
      </c>
      <c r="F21" s="3">
        <f>+E21-$E$21/12</f>
        <v>112706.76388888882</v>
      </c>
      <c r="G21" s="3">
        <f t="shared" ref="G21:Q21" si="4">+F21-$E$21/12</f>
        <v>102460.69444444438</v>
      </c>
      <c r="H21" s="3">
        <f t="shared" si="4"/>
        <v>92214.624999999942</v>
      </c>
      <c r="I21" s="3">
        <f t="shared" si="4"/>
        <v>81968.555555555504</v>
      </c>
      <c r="J21" s="3">
        <f t="shared" si="4"/>
        <v>71722.486111111066</v>
      </c>
      <c r="K21" s="3">
        <f t="shared" si="4"/>
        <v>61476.416666666628</v>
      </c>
      <c r="L21" s="3">
        <f t="shared" si="4"/>
        <v>51230.34722222219</v>
      </c>
      <c r="M21" s="3">
        <f t="shared" si="4"/>
        <v>40984.277777777752</v>
      </c>
      <c r="N21" s="3">
        <f t="shared" si="4"/>
        <v>30738.208333333314</v>
      </c>
      <c r="O21" s="3">
        <f t="shared" si="4"/>
        <v>20492.138888888876</v>
      </c>
      <c r="P21" s="3">
        <f t="shared" si="4"/>
        <v>10246.069444444438</v>
      </c>
      <c r="Q21" s="3">
        <f t="shared" si="4"/>
        <v>0</v>
      </c>
      <c r="R21" s="3"/>
      <c r="S21" s="3"/>
      <c r="T21" s="3"/>
      <c r="U21" s="3"/>
      <c r="V21" s="3"/>
      <c r="W21" s="3"/>
      <c r="X21" s="3"/>
      <c r="Y21" s="3"/>
      <c r="Z21" s="3"/>
      <c r="AA21" s="6"/>
      <c r="AB21" s="5">
        <f t="shared" ref="AB21:AB31" si="5">-AF21-AE21</f>
        <v>-162707.58277777769</v>
      </c>
      <c r="AC21" s="6" t="s">
        <v>7</v>
      </c>
      <c r="AD21" s="31">
        <f>+-AF21-AE21+AF21</f>
        <v>-29508.679999999993</v>
      </c>
      <c r="AE21" s="3">
        <v>29508.68</v>
      </c>
      <c r="AF21" s="5">
        <v>133198.90277777769</v>
      </c>
      <c r="AG21" s="5">
        <v>1475434</v>
      </c>
      <c r="AH21" s="3"/>
      <c r="AI21" s="18"/>
      <c r="AJ21" s="10">
        <f t="shared" ref="AJ21:AJ31" si="6">+AD21+AH21</f>
        <v>-29508.679999999993</v>
      </c>
      <c r="AK21" s="30">
        <f t="shared" ref="AK21:AK30" si="7">+AE21/AG20</f>
        <v>0.02</v>
      </c>
      <c r="AO21" s="7"/>
      <c r="AP21" s="3"/>
      <c r="AQ21" s="5"/>
      <c r="AR21" s="5"/>
      <c r="AS21" s="3"/>
      <c r="AT21" s="3"/>
      <c r="AU21" s="5"/>
    </row>
    <row r="22" spans="2:47" x14ac:dyDescent="0.25">
      <c r="B22" s="6" t="s">
        <v>7</v>
      </c>
      <c r="C22" s="6"/>
      <c r="D22" s="6"/>
      <c r="E22" s="6"/>
      <c r="F22" s="5">
        <f>+SUM(E20:E21)-SUM(F20:F21)</f>
        <v>133198.90277777775</v>
      </c>
      <c r="G22" s="3">
        <f>+F22-$F$22/12</f>
        <v>122098.99421296293</v>
      </c>
      <c r="H22" s="3">
        <f t="shared" ref="H22:R22" si="8">+G22-$F$22/12</f>
        <v>110999.08564814812</v>
      </c>
      <c r="I22" s="3">
        <f t="shared" si="8"/>
        <v>99899.177083333299</v>
      </c>
      <c r="J22" s="3">
        <f t="shared" si="8"/>
        <v>88799.268518518482</v>
      </c>
      <c r="K22" s="3">
        <f t="shared" si="8"/>
        <v>77699.359953703664</v>
      </c>
      <c r="L22" s="3">
        <f t="shared" si="8"/>
        <v>66599.451388888847</v>
      </c>
      <c r="M22" s="3">
        <f t="shared" si="8"/>
        <v>55499.542824074037</v>
      </c>
      <c r="N22" s="3">
        <f t="shared" si="8"/>
        <v>44399.634259259226</v>
      </c>
      <c r="O22" s="3">
        <f t="shared" si="8"/>
        <v>33299.725694444416</v>
      </c>
      <c r="P22" s="3">
        <f t="shared" si="8"/>
        <v>22199.817129629606</v>
      </c>
      <c r="Q22" s="3">
        <f t="shared" si="8"/>
        <v>11099.908564814794</v>
      </c>
      <c r="R22" s="3">
        <f t="shared" si="8"/>
        <v>-1.8189894035458565E-11</v>
      </c>
      <c r="S22" s="3"/>
      <c r="T22" s="3"/>
      <c r="U22" s="3"/>
      <c r="V22" s="3"/>
      <c r="W22" s="3"/>
      <c r="X22" s="3"/>
      <c r="Y22" s="3"/>
      <c r="Z22" s="3"/>
      <c r="AA22" s="6"/>
      <c r="AB22" s="5">
        <f t="shared" si="5"/>
        <v>-173807.49134259252</v>
      </c>
      <c r="AC22" s="6" t="s">
        <v>8</v>
      </c>
      <c r="AD22" s="31">
        <f t="shared" ref="AD22:AD30" si="9">+-AF22-AE22+AF22</f>
        <v>-29508.679999999993</v>
      </c>
      <c r="AE22" s="3">
        <v>29508.68</v>
      </c>
      <c r="AF22" s="5">
        <v>144298.81134259253</v>
      </c>
      <c r="AG22" s="5">
        <v>1475434</v>
      </c>
      <c r="AH22" s="3"/>
      <c r="AI22" s="18"/>
      <c r="AJ22" s="10">
        <f t="shared" si="6"/>
        <v>-29508.679999999993</v>
      </c>
      <c r="AK22" s="30">
        <f t="shared" si="7"/>
        <v>0.02</v>
      </c>
      <c r="AO22" s="7"/>
      <c r="AP22" s="3"/>
      <c r="AQ22" s="5"/>
      <c r="AR22" s="5"/>
      <c r="AS22" s="3"/>
      <c r="AT22" s="3"/>
      <c r="AU22" s="5"/>
    </row>
    <row r="23" spans="2:47" x14ac:dyDescent="0.25">
      <c r="B23" s="6" t="s">
        <v>8</v>
      </c>
      <c r="C23" s="6"/>
      <c r="D23" s="6"/>
      <c r="E23" s="6"/>
      <c r="F23" s="6"/>
      <c r="G23" s="5">
        <f>+SUM(F20:F22)-SUM(G20:G22)</f>
        <v>144298.81134259258</v>
      </c>
      <c r="H23" s="3">
        <f>+G23-$G$23/12</f>
        <v>132273.91039737655</v>
      </c>
      <c r="I23" s="3">
        <f t="shared" ref="I23:S23" si="10">+H23-$G$23/12</f>
        <v>120249.00945216049</v>
      </c>
      <c r="J23" s="3">
        <f t="shared" si="10"/>
        <v>108224.10850694444</v>
      </c>
      <c r="K23" s="3">
        <f t="shared" si="10"/>
        <v>96199.207561728384</v>
      </c>
      <c r="L23" s="3">
        <f t="shared" si="10"/>
        <v>84174.306616512331</v>
      </c>
      <c r="M23" s="3">
        <f t="shared" si="10"/>
        <v>72149.405671296277</v>
      </c>
      <c r="N23" s="3">
        <f t="shared" si="10"/>
        <v>60124.504726080231</v>
      </c>
      <c r="O23" s="3">
        <f t="shared" si="10"/>
        <v>48099.603780864185</v>
      </c>
      <c r="P23" s="3">
        <f t="shared" si="10"/>
        <v>36074.702835648139</v>
      </c>
      <c r="Q23" s="3">
        <f t="shared" si="10"/>
        <v>24049.801890432092</v>
      </c>
      <c r="R23" s="3">
        <f t="shared" si="10"/>
        <v>12024.900945216044</v>
      </c>
      <c r="S23" s="3">
        <f t="shared" si="10"/>
        <v>0</v>
      </c>
      <c r="T23" s="6"/>
      <c r="U23" s="6"/>
      <c r="V23" s="6"/>
      <c r="W23" s="6"/>
      <c r="X23" s="6"/>
      <c r="Y23" s="6"/>
      <c r="Z23" s="6"/>
      <c r="AA23" s="6"/>
      <c r="AB23" s="5">
        <f t="shared" si="5"/>
        <v>-185832.39228780867</v>
      </c>
      <c r="AC23" s="6" t="s">
        <v>9</v>
      </c>
      <c r="AD23" s="31">
        <f t="shared" si="9"/>
        <v>-29508.679999999993</v>
      </c>
      <c r="AE23" s="3">
        <v>29508.68</v>
      </c>
      <c r="AF23" s="5">
        <v>156323.71228780868</v>
      </c>
      <c r="AG23" s="5">
        <v>1475434</v>
      </c>
      <c r="AH23" s="3">
        <v>-59000</v>
      </c>
      <c r="AI23" s="18"/>
      <c r="AJ23" s="10">
        <f t="shared" si="6"/>
        <v>-88508.68</v>
      </c>
      <c r="AK23" s="30">
        <f t="shared" si="7"/>
        <v>0.02</v>
      </c>
      <c r="AO23" s="7"/>
      <c r="AP23" s="3"/>
      <c r="AQ23" s="5"/>
      <c r="AR23" s="5"/>
      <c r="AS23" s="3"/>
      <c r="AT23" s="3"/>
      <c r="AU23" s="5"/>
    </row>
    <row r="24" spans="2:47" x14ac:dyDescent="0.25">
      <c r="B24" s="6" t="s">
        <v>9</v>
      </c>
      <c r="C24" s="6"/>
      <c r="D24" s="6"/>
      <c r="E24" s="6"/>
      <c r="F24" s="6"/>
      <c r="G24" s="6"/>
      <c r="H24" s="5">
        <f>+SUM(G20:G23)-SUM(H20:H23)</f>
        <v>156323.71228780854</v>
      </c>
      <c r="I24" s="3">
        <f>+H24-$H$24/12</f>
        <v>143296.73626382448</v>
      </c>
      <c r="J24" s="3">
        <f t="shared" ref="J24:T24" si="11">+I24-$H$24/12</f>
        <v>130269.76023984044</v>
      </c>
      <c r="K24" s="3">
        <f t="shared" si="11"/>
        <v>117242.7842158564</v>
      </c>
      <c r="L24" s="3">
        <f t="shared" si="11"/>
        <v>104215.80819187236</v>
      </c>
      <c r="M24" s="3">
        <f t="shared" si="11"/>
        <v>91188.832167888322</v>
      </c>
      <c r="N24" s="3">
        <f t="shared" si="11"/>
        <v>78161.856143904282</v>
      </c>
      <c r="O24" s="3">
        <f t="shared" si="11"/>
        <v>65134.880119920235</v>
      </c>
      <c r="P24" s="3">
        <f t="shared" si="11"/>
        <v>52107.904095936188</v>
      </c>
      <c r="Q24" s="3">
        <f t="shared" si="11"/>
        <v>39080.928071952141</v>
      </c>
      <c r="R24" s="3">
        <f t="shared" si="11"/>
        <v>26053.952047968094</v>
      </c>
      <c r="S24" s="3">
        <f t="shared" si="11"/>
        <v>13026.976023984049</v>
      </c>
      <c r="T24" s="3">
        <f t="shared" si="11"/>
        <v>0</v>
      </c>
      <c r="U24" s="6"/>
      <c r="V24" s="6"/>
      <c r="W24" s="6"/>
      <c r="X24" s="6"/>
      <c r="Y24" s="6"/>
      <c r="Z24" s="6"/>
      <c r="AA24" s="6"/>
      <c r="AB24" s="5">
        <f t="shared" si="5"/>
        <v>-198859.36831179276</v>
      </c>
      <c r="AC24" s="6" t="s">
        <v>10</v>
      </c>
      <c r="AD24" s="31">
        <f t="shared" si="9"/>
        <v>-29508.679999999993</v>
      </c>
      <c r="AE24" s="3">
        <v>29508.68</v>
      </c>
      <c r="AF24" s="5">
        <v>169350.68831179276</v>
      </c>
      <c r="AG24" s="5">
        <v>1475434</v>
      </c>
      <c r="AH24" s="3"/>
      <c r="AI24" s="18"/>
      <c r="AJ24" s="10">
        <f t="shared" si="6"/>
        <v>-29508.679999999993</v>
      </c>
      <c r="AK24" s="30">
        <f t="shared" si="7"/>
        <v>0.02</v>
      </c>
      <c r="AO24" s="7"/>
      <c r="AP24" s="3"/>
      <c r="AQ24" s="5"/>
      <c r="AR24" s="5"/>
      <c r="AS24" s="3"/>
      <c r="AT24" s="3"/>
      <c r="AU24" s="5"/>
    </row>
    <row r="25" spans="2:47" x14ac:dyDescent="0.25">
      <c r="B25" s="6" t="s">
        <v>10</v>
      </c>
      <c r="C25" s="6"/>
      <c r="D25" s="6"/>
      <c r="E25" s="6"/>
      <c r="F25" s="6"/>
      <c r="G25" s="6"/>
      <c r="H25" s="6"/>
      <c r="I25" s="5">
        <f>+SUM(H20:H24)-SUM(I20:I24)</f>
        <v>169350.68831179291</v>
      </c>
      <c r="J25" s="3">
        <f>+I25-$I$25/12</f>
        <v>155238.13095247684</v>
      </c>
      <c r="K25" s="3">
        <f t="shared" ref="K25:U25" si="12">+J25-$I$25/12</f>
        <v>141125.57359316078</v>
      </c>
      <c r="L25" s="3">
        <f t="shared" si="12"/>
        <v>127013.0162338447</v>
      </c>
      <c r="M25" s="3">
        <f t="shared" si="12"/>
        <v>112900.45887452862</v>
      </c>
      <c r="N25" s="3">
        <f t="shared" si="12"/>
        <v>98787.901515212536</v>
      </c>
      <c r="O25" s="3">
        <f t="shared" si="12"/>
        <v>84675.344155896455</v>
      </c>
      <c r="P25" s="3">
        <f t="shared" si="12"/>
        <v>70562.786796580374</v>
      </c>
      <c r="Q25" s="3">
        <f t="shared" si="12"/>
        <v>56450.229437264301</v>
      </c>
      <c r="R25" s="3">
        <f t="shared" si="12"/>
        <v>42337.672077948228</v>
      </c>
      <c r="S25" s="3">
        <f t="shared" si="12"/>
        <v>28225.114718632154</v>
      </c>
      <c r="T25" s="3">
        <f t="shared" si="12"/>
        <v>14112.557359316079</v>
      </c>
      <c r="U25" s="3">
        <f t="shared" si="12"/>
        <v>0</v>
      </c>
      <c r="V25" s="6"/>
      <c r="W25" s="6"/>
      <c r="X25" s="6"/>
      <c r="Y25" s="6"/>
      <c r="Z25" s="6"/>
      <c r="AA25" s="6"/>
      <c r="AB25" s="5">
        <f t="shared" si="5"/>
        <v>-212971.92567110879</v>
      </c>
      <c r="AC25" s="6" t="s">
        <v>11</v>
      </c>
      <c r="AD25" s="31">
        <f t="shared" si="9"/>
        <v>-29508.679999999993</v>
      </c>
      <c r="AE25" s="3">
        <v>29508.680000000004</v>
      </c>
      <c r="AF25" s="5">
        <v>183463.2456711088</v>
      </c>
      <c r="AG25" s="5">
        <v>1475434</v>
      </c>
      <c r="AH25" s="3"/>
      <c r="AI25" s="18"/>
      <c r="AJ25" s="10">
        <f t="shared" si="6"/>
        <v>-29508.679999999993</v>
      </c>
      <c r="AK25" s="30">
        <f t="shared" si="7"/>
        <v>2.0000000000000004E-2</v>
      </c>
      <c r="AO25" s="7"/>
      <c r="AP25" s="3"/>
      <c r="AQ25" s="5"/>
      <c r="AR25" s="5"/>
      <c r="AS25" s="3"/>
      <c r="AT25" s="3"/>
      <c r="AU25" s="5"/>
    </row>
    <row r="26" spans="2:47" x14ac:dyDescent="0.25">
      <c r="B26" s="6" t="s">
        <v>11</v>
      </c>
      <c r="C26" s="6"/>
      <c r="D26" s="6"/>
      <c r="E26" s="6"/>
      <c r="F26" s="6"/>
      <c r="G26" s="6"/>
      <c r="H26" s="6"/>
      <c r="I26" s="6"/>
      <c r="J26" s="5">
        <f>+SUM(I20:I25)-SUM(J20:J25)</f>
        <v>183463.2456711086</v>
      </c>
      <c r="K26" s="3">
        <f>+J26-$J$26/12</f>
        <v>168174.64186518287</v>
      </c>
      <c r="L26" s="3">
        <f t="shared" ref="L26:V26" si="13">+K26-$J$26/12</f>
        <v>152886.03805925715</v>
      </c>
      <c r="M26" s="3">
        <f t="shared" si="13"/>
        <v>137597.43425333142</v>
      </c>
      <c r="N26" s="3">
        <f t="shared" si="13"/>
        <v>122308.83044740571</v>
      </c>
      <c r="O26" s="3">
        <f t="shared" si="13"/>
        <v>107020.22664148</v>
      </c>
      <c r="P26" s="3">
        <f t="shared" si="13"/>
        <v>91731.622835554284</v>
      </c>
      <c r="Q26" s="3">
        <f t="shared" si="13"/>
        <v>76443.019029628573</v>
      </c>
      <c r="R26" s="3">
        <f t="shared" si="13"/>
        <v>61154.415223702854</v>
      </c>
      <c r="S26" s="3">
        <f t="shared" si="13"/>
        <v>45865.811417777135</v>
      </c>
      <c r="T26" s="3">
        <f t="shared" si="13"/>
        <v>30577.207611851416</v>
      </c>
      <c r="U26" s="3">
        <f t="shared" si="13"/>
        <v>15288.603805925699</v>
      </c>
      <c r="V26" s="3">
        <f t="shared" si="13"/>
        <v>-1.8189894035458565E-11</v>
      </c>
      <c r="W26" s="6"/>
      <c r="X26" s="6"/>
      <c r="Y26" s="6"/>
      <c r="Z26" s="6"/>
      <c r="AA26" s="6"/>
      <c r="AB26" s="5">
        <f t="shared" si="5"/>
        <v>-228260.52947703452</v>
      </c>
      <c r="AC26" s="6" t="s">
        <v>12</v>
      </c>
      <c r="AD26" s="31">
        <f t="shared" si="9"/>
        <v>-29508.679999999993</v>
      </c>
      <c r="AE26" s="3">
        <v>29508.68</v>
      </c>
      <c r="AF26" s="5">
        <v>198751.84947703453</v>
      </c>
      <c r="AG26" s="5">
        <v>1475434</v>
      </c>
      <c r="AH26" s="3">
        <v>-59000</v>
      </c>
      <c r="AI26" s="18"/>
      <c r="AJ26" s="10">
        <f t="shared" si="6"/>
        <v>-88508.68</v>
      </c>
      <c r="AK26" s="30">
        <f t="shared" si="7"/>
        <v>0.02</v>
      </c>
      <c r="AO26" s="7"/>
      <c r="AP26" s="3"/>
      <c r="AQ26" s="5"/>
      <c r="AR26" s="5"/>
      <c r="AS26" s="3"/>
      <c r="AT26" s="3"/>
      <c r="AU26" s="5"/>
    </row>
    <row r="27" spans="2:47" x14ac:dyDescent="0.25">
      <c r="B27" s="6" t="s">
        <v>12</v>
      </c>
      <c r="C27" s="6"/>
      <c r="D27" s="6"/>
      <c r="E27" s="6"/>
      <c r="F27" s="6"/>
      <c r="G27" s="6"/>
      <c r="H27" s="6"/>
      <c r="I27" s="6"/>
      <c r="J27" s="6"/>
      <c r="K27" s="5">
        <f>+SUM(J20:J26)-SUM(K20:K26)</f>
        <v>198751.84947703429</v>
      </c>
      <c r="L27" s="3">
        <f>+K27-$K$27/12</f>
        <v>182189.1953539481</v>
      </c>
      <c r="M27" s="3">
        <f t="shared" ref="M27:W27" si="14">+L27-$K$27/12</f>
        <v>165626.54123086191</v>
      </c>
      <c r="N27" s="3">
        <f t="shared" si="14"/>
        <v>149063.88710777572</v>
      </c>
      <c r="O27" s="3">
        <f t="shared" si="14"/>
        <v>132501.23298468953</v>
      </c>
      <c r="P27" s="3">
        <f t="shared" si="14"/>
        <v>115938.57886160334</v>
      </c>
      <c r="Q27" s="3">
        <f t="shared" si="14"/>
        <v>99375.924738517147</v>
      </c>
      <c r="R27" s="3">
        <f t="shared" si="14"/>
        <v>82813.270615430956</v>
      </c>
      <c r="S27" s="3">
        <f t="shared" si="14"/>
        <v>66250.616492344765</v>
      </c>
      <c r="T27" s="3">
        <f t="shared" si="14"/>
        <v>49687.962369258574</v>
      </c>
      <c r="U27" s="3">
        <f t="shared" si="14"/>
        <v>33125.308246172382</v>
      </c>
      <c r="V27" s="3">
        <f t="shared" si="14"/>
        <v>16562.654123086191</v>
      </c>
      <c r="W27" s="3">
        <f t="shared" si="14"/>
        <v>0</v>
      </c>
      <c r="X27" s="6"/>
      <c r="Y27" s="6"/>
      <c r="Z27" s="6"/>
      <c r="AA27" s="6"/>
      <c r="AB27" s="5">
        <f t="shared" si="5"/>
        <v>-244823.18360012068</v>
      </c>
      <c r="AC27" s="6" t="s">
        <v>13</v>
      </c>
      <c r="AD27" s="31">
        <f t="shared" si="9"/>
        <v>-29508.679999999993</v>
      </c>
      <c r="AE27" s="3">
        <v>29508.679999999993</v>
      </c>
      <c r="AF27" s="5">
        <v>215314.50360012069</v>
      </c>
      <c r="AG27" s="5">
        <v>1475434</v>
      </c>
      <c r="AH27" s="3"/>
      <c r="AI27" s="18"/>
      <c r="AJ27" s="10">
        <f t="shared" si="6"/>
        <v>-29508.679999999993</v>
      </c>
      <c r="AK27" s="30">
        <f t="shared" si="7"/>
        <v>1.9999999999999997E-2</v>
      </c>
      <c r="AO27" s="7"/>
      <c r="AP27" s="3"/>
      <c r="AQ27" s="5"/>
      <c r="AR27" s="5"/>
      <c r="AS27" s="3"/>
      <c r="AT27" s="3"/>
      <c r="AU27" s="5"/>
    </row>
    <row r="28" spans="2:47" x14ac:dyDescent="0.25">
      <c r="B28" s="6" t="s">
        <v>13</v>
      </c>
      <c r="C28" s="6"/>
      <c r="D28" s="6"/>
      <c r="E28" s="6"/>
      <c r="F28" s="6"/>
      <c r="G28" s="6"/>
      <c r="H28" s="6"/>
      <c r="I28" s="6"/>
      <c r="J28" s="6"/>
      <c r="K28" s="6"/>
      <c r="L28" s="5">
        <f>+SUM(K20:K27)-SUM(L20:L27)</f>
        <v>215314.50360012101</v>
      </c>
      <c r="M28" s="3">
        <f>+L28-$L$28/12</f>
        <v>197371.62830011093</v>
      </c>
      <c r="N28" s="3">
        <f t="shared" ref="N28:W28" si="15">+M28-$L$28/12</f>
        <v>179428.75300010084</v>
      </c>
      <c r="O28" s="3">
        <f t="shared" si="15"/>
        <v>161485.87770009076</v>
      </c>
      <c r="P28" s="3">
        <f t="shared" si="15"/>
        <v>143543.00240008067</v>
      </c>
      <c r="Q28" s="3">
        <f t="shared" si="15"/>
        <v>125600.12710007059</v>
      </c>
      <c r="R28" s="3">
        <f t="shared" si="15"/>
        <v>107657.25180006051</v>
      </c>
      <c r="S28" s="3">
        <f t="shared" si="15"/>
        <v>89714.376500050421</v>
      </c>
      <c r="T28" s="3">
        <f t="shared" si="15"/>
        <v>71771.501200040337</v>
      </c>
      <c r="U28" s="3">
        <f t="shared" si="15"/>
        <v>53828.625900030253</v>
      </c>
      <c r="V28" s="3">
        <f t="shared" si="15"/>
        <v>35885.750600020168</v>
      </c>
      <c r="W28" s="3">
        <f t="shared" si="15"/>
        <v>17942.875300010084</v>
      </c>
      <c r="X28" s="3">
        <f>+W28-$L$28/12</f>
        <v>0</v>
      </c>
      <c r="Y28" s="6"/>
      <c r="Z28" s="6"/>
      <c r="AA28" s="6"/>
      <c r="AB28" s="5">
        <f t="shared" si="5"/>
        <v>-262766.05890013074</v>
      </c>
      <c r="AC28" s="6" t="s">
        <v>14</v>
      </c>
      <c r="AD28" s="31">
        <f t="shared" si="9"/>
        <v>-29508.680000000022</v>
      </c>
      <c r="AE28" s="3">
        <v>29508.680000000004</v>
      </c>
      <c r="AF28" s="5">
        <v>233257.37890013072</v>
      </c>
      <c r="AG28" s="5">
        <v>1475434</v>
      </c>
      <c r="AH28" s="3"/>
      <c r="AI28" s="18"/>
      <c r="AJ28" s="10">
        <f t="shared" si="6"/>
        <v>-29508.680000000022</v>
      </c>
      <c r="AK28" s="30">
        <f t="shared" si="7"/>
        <v>2.0000000000000004E-2</v>
      </c>
      <c r="AO28" s="7"/>
      <c r="AP28" s="3"/>
      <c r="AQ28" s="5"/>
      <c r="AR28" s="5"/>
      <c r="AS28" s="3"/>
      <c r="AT28" s="3"/>
      <c r="AU28" s="5"/>
    </row>
    <row r="29" spans="2:47" x14ac:dyDescent="0.25">
      <c r="B29" s="6" t="s">
        <v>14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5">
        <f>+SUM(L20:L28)-SUM(M20:M28)</f>
        <v>233257.37890013075</v>
      </c>
      <c r="N29" s="3">
        <f>+M29-$M$29/12</f>
        <v>213819.26399178652</v>
      </c>
      <c r="O29" s="3">
        <f t="shared" ref="O29:Y29" si="16">+N29-$M$29/12</f>
        <v>194381.14908344229</v>
      </c>
      <c r="P29" s="3">
        <f t="shared" si="16"/>
        <v>174943.03417509806</v>
      </c>
      <c r="Q29" s="3">
        <f t="shared" si="16"/>
        <v>155504.91926675383</v>
      </c>
      <c r="R29" s="3">
        <f t="shared" si="16"/>
        <v>136066.8043584096</v>
      </c>
      <c r="S29" s="3">
        <f t="shared" si="16"/>
        <v>116628.68945006537</v>
      </c>
      <c r="T29" s="3">
        <f t="shared" si="16"/>
        <v>97190.574541721144</v>
      </c>
      <c r="U29" s="3">
        <f t="shared" si="16"/>
        <v>77752.459633376915</v>
      </c>
      <c r="V29" s="3">
        <f t="shared" si="16"/>
        <v>58314.344725032686</v>
      </c>
      <c r="W29" s="3">
        <f t="shared" si="16"/>
        <v>38876.229816688458</v>
      </c>
      <c r="X29" s="3">
        <f t="shared" si="16"/>
        <v>19438.114908344229</v>
      </c>
      <c r="Y29" s="3">
        <f t="shared" si="16"/>
        <v>0</v>
      </c>
      <c r="Z29" s="6"/>
      <c r="AA29" s="6"/>
      <c r="AB29" s="5">
        <f t="shared" si="5"/>
        <v>-282204.17380847491</v>
      </c>
      <c r="AC29" s="6" t="s">
        <v>15</v>
      </c>
      <c r="AD29" s="31">
        <f t="shared" si="9"/>
        <v>-29508.679999999993</v>
      </c>
      <c r="AE29" s="3">
        <v>29508.680000000004</v>
      </c>
      <c r="AF29" s="5">
        <v>252695.49380847492</v>
      </c>
      <c r="AG29" s="5">
        <v>1475434</v>
      </c>
      <c r="AH29" s="3">
        <v>-59000</v>
      </c>
      <c r="AI29" s="18"/>
      <c r="AJ29" s="10">
        <f t="shared" si="6"/>
        <v>-88508.68</v>
      </c>
      <c r="AK29" s="30">
        <f t="shared" si="7"/>
        <v>2.0000000000000004E-2</v>
      </c>
      <c r="AO29" s="7"/>
      <c r="AP29" s="3"/>
      <c r="AQ29" s="5"/>
      <c r="AR29" s="5"/>
      <c r="AS29" s="3"/>
      <c r="AT29" s="3"/>
      <c r="AU29" s="5"/>
    </row>
    <row r="30" spans="2:47" x14ac:dyDescent="0.25">
      <c r="B30" s="6" t="s">
        <v>15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5">
        <f>+SUM(M20:M29)-SUM(N20:N29)</f>
        <v>252695.49380847486</v>
      </c>
      <c r="O30" s="3">
        <f>+N30-$N$30/12</f>
        <v>231637.53599110196</v>
      </c>
      <c r="P30" s="3">
        <f t="shared" ref="P30:Z30" si="17">+O30-$N$30/12</f>
        <v>210579.57817372907</v>
      </c>
      <c r="Q30" s="3">
        <f t="shared" si="17"/>
        <v>189521.62035635617</v>
      </c>
      <c r="R30" s="3">
        <f t="shared" si="17"/>
        <v>168463.66253898328</v>
      </c>
      <c r="S30" s="3">
        <f t="shared" si="17"/>
        <v>147405.70472161038</v>
      </c>
      <c r="T30" s="3">
        <f t="shared" si="17"/>
        <v>126347.74690423747</v>
      </c>
      <c r="U30" s="3">
        <f t="shared" si="17"/>
        <v>105289.78908686456</v>
      </c>
      <c r="V30" s="3">
        <f t="shared" si="17"/>
        <v>84231.831269491653</v>
      </c>
      <c r="W30" s="3">
        <f t="shared" si="17"/>
        <v>63173.873452118743</v>
      </c>
      <c r="X30" s="3">
        <f t="shared" si="17"/>
        <v>42115.915634745834</v>
      </c>
      <c r="Y30" s="3">
        <f t="shared" si="17"/>
        <v>21057.957817372928</v>
      </c>
      <c r="Z30" s="3">
        <f t="shared" si="17"/>
        <v>0</v>
      </c>
      <c r="AA30" s="6"/>
      <c r="AB30" s="5">
        <f t="shared" si="5"/>
        <v>-303262.13162584783</v>
      </c>
      <c r="AC30" s="6" t="s">
        <v>16</v>
      </c>
      <c r="AD30" s="31">
        <f t="shared" si="9"/>
        <v>-29508.679999999993</v>
      </c>
      <c r="AE30" s="3">
        <v>29508.680000000004</v>
      </c>
      <c r="AF30" s="5">
        <v>273753.45162584784</v>
      </c>
      <c r="AG30" s="5">
        <v>1475434</v>
      </c>
      <c r="AH30" s="3"/>
      <c r="AI30" s="18"/>
      <c r="AJ30" s="10">
        <f t="shared" si="6"/>
        <v>-29508.679999999993</v>
      </c>
      <c r="AK30" s="30">
        <f t="shared" si="7"/>
        <v>2.0000000000000004E-2</v>
      </c>
      <c r="AL30" s="5"/>
      <c r="AO30" s="6" t="s">
        <v>99</v>
      </c>
      <c r="AP30" s="7"/>
      <c r="AQ30" s="3"/>
      <c r="AR30" s="5"/>
      <c r="AS30" s="3"/>
      <c r="AT30" s="3"/>
      <c r="AU30" s="5"/>
    </row>
    <row r="31" spans="2:47" x14ac:dyDescent="0.25">
      <c r="B31" s="6" t="s">
        <v>16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5">
        <f>+SUM(N20:N30)-SUM(O20:O30)</f>
        <v>273753.45162584796</v>
      </c>
      <c r="P31" s="3">
        <f>+O31-$O$31/12</f>
        <v>250940.66399036063</v>
      </c>
      <c r="Q31" s="3">
        <f t="shared" ref="Q31:Z31" si="18">+P31-$O$31/12</f>
        <v>228127.8763548733</v>
      </c>
      <c r="R31" s="3">
        <f t="shared" si="18"/>
        <v>205315.08871938597</v>
      </c>
      <c r="S31" s="3">
        <f t="shared" si="18"/>
        <v>182502.30108389864</v>
      </c>
      <c r="T31" s="3">
        <f t="shared" si="18"/>
        <v>159689.51344841131</v>
      </c>
      <c r="U31" s="3">
        <f t="shared" si="18"/>
        <v>136876.72581292398</v>
      </c>
      <c r="V31" s="3">
        <f t="shared" si="18"/>
        <v>114063.93817743665</v>
      </c>
      <c r="W31" s="3">
        <f t="shared" si="18"/>
        <v>91251.150541949319</v>
      </c>
      <c r="X31" s="3">
        <f t="shared" si="18"/>
        <v>68438.362906461989</v>
      </c>
      <c r="Y31" s="3">
        <f t="shared" si="18"/>
        <v>45625.575270974659</v>
      </c>
      <c r="Z31" s="3">
        <f t="shared" si="18"/>
        <v>22812.78763548733</v>
      </c>
      <c r="AA31" s="6"/>
      <c r="AB31" s="5">
        <f t="shared" si="5"/>
        <v>-1504942.68</v>
      </c>
      <c r="AC31" s="6" t="s">
        <v>17</v>
      </c>
      <c r="AD31" s="31">
        <f t="shared" ref="AD31" si="19">+-AF31-AE31</f>
        <v>-1504942.68</v>
      </c>
      <c r="AE31" s="3">
        <v>29508.680000000004</v>
      </c>
      <c r="AF31" s="5">
        <v>1475434</v>
      </c>
      <c r="AG31" s="5">
        <v>1475434</v>
      </c>
      <c r="AH31" s="3"/>
      <c r="AI31" s="18"/>
      <c r="AJ31" s="10">
        <f t="shared" si="6"/>
        <v>-1504942.68</v>
      </c>
      <c r="AK31" s="5">
        <f>+AVERAGE(AG19:AG30)</f>
        <v>1475434</v>
      </c>
      <c r="AL31" s="5">
        <f>+AVERAGE(AG19:AG30)</f>
        <v>1475434</v>
      </c>
      <c r="AM31" s="5">
        <f>+SUM(AE20:AE31)</f>
        <v>354104.16</v>
      </c>
      <c r="AN31" s="5">
        <f>+-SUM(AH20:AH31)</f>
        <v>236000</v>
      </c>
      <c r="AO31" s="5">
        <f>+AN31+AM31</f>
        <v>590104.15999999992</v>
      </c>
      <c r="AP31" s="2">
        <f>+AO31/AL31</f>
        <v>0.39995293588191672</v>
      </c>
      <c r="AQ31" s="2">
        <f>+AP31/12</f>
        <v>3.3329411323493062E-2</v>
      </c>
      <c r="AR31" s="13">
        <f>+(1+AQ31)^(12)-1</f>
        <v>0.48205898624819099</v>
      </c>
      <c r="AS31" s="3"/>
      <c r="AT31" s="3"/>
      <c r="AU31" s="5"/>
    </row>
    <row r="32" spans="2:47" x14ac:dyDescent="0.25">
      <c r="B32" s="6" t="s">
        <v>17</v>
      </c>
      <c r="C32" s="6"/>
      <c r="P32" s="5">
        <f>+SUM(O20:O31)-SUM(P20:P31)</f>
        <v>296566.23926133499</v>
      </c>
      <c r="AE32" s="5">
        <f>+SUM(AE20:AE31)</f>
        <v>354104.16</v>
      </c>
      <c r="AG32" s="5">
        <f>+AVERAGE(AG19:AG31)</f>
        <v>1475434</v>
      </c>
      <c r="AK32" s="30">
        <f>+AE32/AG32</f>
        <v>0.24</v>
      </c>
    </row>
    <row r="33" spans="2:37" x14ac:dyDescent="0.25">
      <c r="AK33" s="30"/>
    </row>
    <row r="34" spans="2:37" x14ac:dyDescent="0.25">
      <c r="P34" s="5"/>
    </row>
    <row r="35" spans="2:37" x14ac:dyDescent="0.25">
      <c r="B35" s="26" t="s">
        <v>105</v>
      </c>
      <c r="C35" s="26"/>
      <c r="D35" s="27">
        <f>+SUM(D36:D48)</f>
        <v>0</v>
      </c>
      <c r="E35" s="27">
        <f t="shared" ref="E35:P35" si="20">+SUM(E36:E48)</f>
        <v>-122952.83333333326</v>
      </c>
      <c r="F35" s="27">
        <f t="shared" si="20"/>
        <v>-133198.90277777769</v>
      </c>
      <c r="G35" s="27">
        <f t="shared" si="20"/>
        <v>-144298.81134259253</v>
      </c>
      <c r="H35" s="27">
        <f t="shared" si="20"/>
        <v>-156323.71228780868</v>
      </c>
      <c r="I35" s="27">
        <f t="shared" si="20"/>
        <v>-169350.68831179276</v>
      </c>
      <c r="J35" s="27">
        <f t="shared" si="20"/>
        <v>-183463.2456711088</v>
      </c>
      <c r="K35" s="27">
        <f t="shared" si="20"/>
        <v>-198751.84947703453</v>
      </c>
      <c r="L35" s="27">
        <f t="shared" si="20"/>
        <v>-215314.50360012069</v>
      </c>
      <c r="M35" s="27">
        <f t="shared" si="20"/>
        <v>-233257.37890013072</v>
      </c>
      <c r="N35" s="27">
        <f t="shared" si="20"/>
        <v>-252695.49380847492</v>
      </c>
      <c r="O35" s="27">
        <f t="shared" si="20"/>
        <v>-273753.45162584784</v>
      </c>
      <c r="P35" s="27">
        <f t="shared" si="20"/>
        <v>-1475434</v>
      </c>
    </row>
    <row r="36" spans="2:37" x14ac:dyDescent="0.25">
      <c r="B36" s="6" t="s">
        <v>6</v>
      </c>
      <c r="C36" s="6"/>
      <c r="E36" s="24">
        <f>+E20-D20</f>
        <v>-122952.83333333326</v>
      </c>
      <c r="F36" s="24">
        <f t="shared" ref="F36:O36" si="21">+F20-E20</f>
        <v>-122952.83333333326</v>
      </c>
      <c r="G36" s="24">
        <f t="shared" si="21"/>
        <v>-122952.83333333326</v>
      </c>
      <c r="H36" s="24">
        <f t="shared" si="21"/>
        <v>-122952.83333333337</v>
      </c>
      <c r="I36" s="24">
        <f t="shared" si="21"/>
        <v>-122952.83333333337</v>
      </c>
      <c r="J36" s="24">
        <f t="shared" si="21"/>
        <v>-122952.83333333337</v>
      </c>
      <c r="K36" s="24">
        <f t="shared" si="21"/>
        <v>-122952.83333333337</v>
      </c>
      <c r="L36" s="24">
        <f t="shared" si="21"/>
        <v>-122952.83333333331</v>
      </c>
      <c r="M36" s="24">
        <f t="shared" si="21"/>
        <v>-122952.83333333331</v>
      </c>
      <c r="N36" s="24">
        <f t="shared" si="21"/>
        <v>-122952.83333333331</v>
      </c>
      <c r="O36" s="24">
        <f t="shared" si="21"/>
        <v>-122952.83333333333</v>
      </c>
      <c r="P36" s="24"/>
    </row>
    <row r="37" spans="2:37" x14ac:dyDescent="0.25">
      <c r="B37" s="6" t="s">
        <v>7</v>
      </c>
      <c r="C37" s="6"/>
      <c r="E37" s="24"/>
      <c r="F37" s="24">
        <f t="shared" ref="F37:O37" si="22">+F21-E21</f>
        <v>-10246.069444444438</v>
      </c>
      <c r="G37" s="24">
        <f t="shared" si="22"/>
        <v>-10246.069444444438</v>
      </c>
      <c r="H37" s="24">
        <f t="shared" si="22"/>
        <v>-10246.069444444438</v>
      </c>
      <c r="I37" s="24">
        <f t="shared" si="22"/>
        <v>-10246.069444444438</v>
      </c>
      <c r="J37" s="24">
        <f t="shared" si="22"/>
        <v>-10246.069444444438</v>
      </c>
      <c r="K37" s="24">
        <f t="shared" si="22"/>
        <v>-10246.069444444438</v>
      </c>
      <c r="L37" s="24">
        <f t="shared" si="22"/>
        <v>-10246.069444444438</v>
      </c>
      <c r="M37" s="24">
        <f t="shared" si="22"/>
        <v>-10246.069444444438</v>
      </c>
      <c r="N37" s="24">
        <f t="shared" si="22"/>
        <v>-10246.069444444438</v>
      </c>
      <c r="O37" s="24">
        <f t="shared" si="22"/>
        <v>-10246.069444444438</v>
      </c>
      <c r="P37" s="24"/>
    </row>
    <row r="38" spans="2:37" x14ac:dyDescent="0.25">
      <c r="B38" s="6" t="s">
        <v>8</v>
      </c>
      <c r="C38" s="6"/>
      <c r="E38" s="24">
        <f t="shared" ref="E38:E47" si="23">+E22-D22</f>
        <v>0</v>
      </c>
      <c r="F38" s="24"/>
      <c r="G38" s="24">
        <f t="shared" ref="G38:O38" si="24">+G22-F22</f>
        <v>-11099.908564814818</v>
      </c>
      <c r="H38" s="24">
        <f t="shared" si="24"/>
        <v>-11099.908564814818</v>
      </c>
      <c r="I38" s="24">
        <f t="shared" si="24"/>
        <v>-11099.908564814818</v>
      </c>
      <c r="J38" s="24">
        <f t="shared" si="24"/>
        <v>-11099.908564814818</v>
      </c>
      <c r="K38" s="24">
        <f t="shared" si="24"/>
        <v>-11099.908564814818</v>
      </c>
      <c r="L38" s="24">
        <f t="shared" si="24"/>
        <v>-11099.908564814818</v>
      </c>
      <c r="M38" s="24">
        <f t="shared" si="24"/>
        <v>-11099.90856481481</v>
      </c>
      <c r="N38" s="24">
        <f t="shared" si="24"/>
        <v>-11099.90856481481</v>
      </c>
      <c r="O38" s="24">
        <f t="shared" si="24"/>
        <v>-11099.90856481481</v>
      </c>
      <c r="P38" s="24"/>
    </row>
    <row r="39" spans="2:37" x14ac:dyDescent="0.25">
      <c r="B39" s="6" t="s">
        <v>9</v>
      </c>
      <c r="C39" s="6"/>
      <c r="E39" s="24">
        <f t="shared" si="23"/>
        <v>0</v>
      </c>
      <c r="F39" s="24">
        <f t="shared" ref="F39:F47" si="25">+F23-E23</f>
        <v>0</v>
      </c>
      <c r="G39" s="24"/>
      <c r="H39" s="24">
        <f t="shared" ref="H39:O39" si="26">+H23-G23</f>
        <v>-12024.900945216039</v>
      </c>
      <c r="I39" s="24">
        <f t="shared" si="26"/>
        <v>-12024.900945216054</v>
      </c>
      <c r="J39" s="24">
        <f t="shared" si="26"/>
        <v>-12024.900945216054</v>
      </c>
      <c r="K39" s="24">
        <f t="shared" si="26"/>
        <v>-12024.900945216054</v>
      </c>
      <c r="L39" s="24">
        <f t="shared" si="26"/>
        <v>-12024.900945216054</v>
      </c>
      <c r="M39" s="24">
        <f t="shared" si="26"/>
        <v>-12024.900945216054</v>
      </c>
      <c r="N39" s="24">
        <f t="shared" si="26"/>
        <v>-12024.900945216046</v>
      </c>
      <c r="O39" s="24">
        <f t="shared" si="26"/>
        <v>-12024.900945216046</v>
      </c>
      <c r="P39" s="24"/>
    </row>
    <row r="40" spans="2:37" x14ac:dyDescent="0.25">
      <c r="B40" s="6" t="s">
        <v>10</v>
      </c>
      <c r="C40" s="6"/>
      <c r="E40" s="24">
        <f t="shared" si="23"/>
        <v>0</v>
      </c>
      <c r="F40" s="24">
        <f t="shared" si="25"/>
        <v>0</v>
      </c>
      <c r="G40" s="24">
        <f t="shared" ref="G40:G47" si="27">+G24-F24</f>
        <v>0</v>
      </c>
      <c r="H40" s="24"/>
      <c r="I40" s="24">
        <f t="shared" ref="I40:O40" si="28">+I24-H24</f>
        <v>-13026.976023984054</v>
      </c>
      <c r="J40" s="24">
        <f t="shared" si="28"/>
        <v>-13026.97602398404</v>
      </c>
      <c r="K40" s="24">
        <f t="shared" si="28"/>
        <v>-13026.97602398404</v>
      </c>
      <c r="L40" s="24">
        <f t="shared" si="28"/>
        <v>-13026.97602398404</v>
      </c>
      <c r="M40" s="24">
        <f t="shared" si="28"/>
        <v>-13026.97602398404</v>
      </c>
      <c r="N40" s="24">
        <f t="shared" si="28"/>
        <v>-13026.97602398404</v>
      </c>
      <c r="O40" s="24">
        <f t="shared" si="28"/>
        <v>-13026.976023984047</v>
      </c>
      <c r="P40" s="24"/>
    </row>
    <row r="41" spans="2:37" x14ac:dyDescent="0.25">
      <c r="B41" s="6" t="s">
        <v>11</v>
      </c>
      <c r="C41" s="6"/>
      <c r="E41" s="24">
        <f t="shared" si="23"/>
        <v>0</v>
      </c>
      <c r="F41" s="24">
        <f t="shared" si="25"/>
        <v>0</v>
      </c>
      <c r="G41" s="24">
        <f t="shared" si="27"/>
        <v>0</v>
      </c>
      <c r="H41" s="24">
        <f t="shared" ref="H41:H47" si="29">+H25-G25</f>
        <v>0</v>
      </c>
      <c r="I41" s="24"/>
      <c r="J41" s="24">
        <f t="shared" ref="J41:O41" si="30">+J25-I25</f>
        <v>-14112.557359316066</v>
      </c>
      <c r="K41" s="24">
        <f t="shared" si="30"/>
        <v>-14112.557359316066</v>
      </c>
      <c r="L41" s="24">
        <f t="shared" si="30"/>
        <v>-14112.557359316081</v>
      </c>
      <c r="M41" s="24">
        <f t="shared" si="30"/>
        <v>-14112.557359316081</v>
      </c>
      <c r="N41" s="24">
        <f t="shared" si="30"/>
        <v>-14112.557359316081</v>
      </c>
      <c r="O41" s="24">
        <f t="shared" si="30"/>
        <v>-14112.557359316081</v>
      </c>
      <c r="P41" s="24"/>
    </row>
    <row r="42" spans="2:37" x14ac:dyDescent="0.25">
      <c r="B42" s="6" t="s">
        <v>12</v>
      </c>
      <c r="C42" s="6"/>
      <c r="E42" s="24">
        <f t="shared" si="23"/>
        <v>0</v>
      </c>
      <c r="F42" s="24">
        <f t="shared" si="25"/>
        <v>0</v>
      </c>
      <c r="G42" s="24">
        <f t="shared" si="27"/>
        <v>0</v>
      </c>
      <c r="H42" s="24">
        <f t="shared" si="29"/>
        <v>0</v>
      </c>
      <c r="I42" s="24">
        <f t="shared" ref="I42:I47" si="31">+I26-H26</f>
        <v>0</v>
      </c>
      <c r="J42" s="24"/>
      <c r="K42" s="24">
        <f>+K26-J26</f>
        <v>-15288.603805925726</v>
      </c>
      <c r="L42" s="24">
        <f>+L26-K26</f>
        <v>-15288.603805925726</v>
      </c>
      <c r="M42" s="24">
        <f>+M26-L26</f>
        <v>-15288.603805925726</v>
      </c>
      <c r="N42" s="24">
        <f>+N26-M26</f>
        <v>-15288.603805925712</v>
      </c>
      <c r="O42" s="24">
        <f>+O26-N26</f>
        <v>-15288.603805925712</v>
      </c>
      <c r="P42" s="24"/>
    </row>
    <row r="43" spans="2:37" x14ac:dyDescent="0.25">
      <c r="B43" s="6" t="s">
        <v>13</v>
      </c>
      <c r="C43" s="6"/>
      <c r="E43" s="24">
        <f t="shared" si="23"/>
        <v>0</v>
      </c>
      <c r="F43" s="24">
        <f t="shared" si="25"/>
        <v>0</v>
      </c>
      <c r="G43" s="24">
        <f t="shared" si="27"/>
        <v>0</v>
      </c>
      <c r="H43" s="24">
        <f t="shared" si="29"/>
        <v>0</v>
      </c>
      <c r="I43" s="24">
        <f t="shared" si="31"/>
        <v>0</v>
      </c>
      <c r="J43" s="24">
        <f>+J27-I27</f>
        <v>0</v>
      </c>
      <c r="K43" s="24"/>
      <c r="L43" s="24">
        <f>+L27-K27</f>
        <v>-16562.654123086191</v>
      </c>
      <c r="M43" s="24">
        <f>+M27-L27</f>
        <v>-16562.654123086191</v>
      </c>
      <c r="N43" s="24">
        <f>+N27-M27</f>
        <v>-16562.654123086191</v>
      </c>
      <c r="O43" s="24">
        <f>+O27-N27</f>
        <v>-16562.654123086191</v>
      </c>
      <c r="P43" s="24"/>
    </row>
    <row r="44" spans="2:37" x14ac:dyDescent="0.25">
      <c r="B44" s="6" t="s">
        <v>14</v>
      </c>
      <c r="C44" s="6"/>
      <c r="E44" s="24">
        <f t="shared" si="23"/>
        <v>0</v>
      </c>
      <c r="F44" s="24">
        <f t="shared" si="25"/>
        <v>0</v>
      </c>
      <c r="G44" s="24">
        <f t="shared" si="27"/>
        <v>0</v>
      </c>
      <c r="H44" s="24">
        <f t="shared" si="29"/>
        <v>0</v>
      </c>
      <c r="I44" s="24">
        <f t="shared" si="31"/>
        <v>0</v>
      </c>
      <c r="J44" s="24">
        <f>+J28-I28</f>
        <v>0</v>
      </c>
      <c r="K44" s="24">
        <f>+K28-J28</f>
        <v>0</v>
      </c>
      <c r="L44" s="24"/>
      <c r="M44" s="24">
        <f>+M28-L28</f>
        <v>-17942.875300010084</v>
      </c>
      <c r="N44" s="24">
        <f>+N28-M28</f>
        <v>-17942.875300010084</v>
      </c>
      <c r="O44" s="24">
        <f>+O28-N28</f>
        <v>-17942.875300010084</v>
      </c>
      <c r="P44" s="24"/>
    </row>
    <row r="45" spans="2:37" x14ac:dyDescent="0.25">
      <c r="B45" s="6" t="s">
        <v>15</v>
      </c>
      <c r="C45" s="6"/>
      <c r="E45" s="24">
        <f t="shared" si="23"/>
        <v>0</v>
      </c>
      <c r="F45" s="24">
        <f t="shared" si="25"/>
        <v>0</v>
      </c>
      <c r="G45" s="24">
        <f t="shared" si="27"/>
        <v>0</v>
      </c>
      <c r="H45" s="24">
        <f t="shared" si="29"/>
        <v>0</v>
      </c>
      <c r="I45" s="24">
        <f t="shared" si="31"/>
        <v>0</v>
      </c>
      <c r="J45" s="24">
        <f>+J29-I29</f>
        <v>0</v>
      </c>
      <c r="K45" s="24">
        <f>+K29-J29</f>
        <v>0</v>
      </c>
      <c r="L45" s="24">
        <f>+L29-K29</f>
        <v>0</v>
      </c>
      <c r="M45" s="24"/>
      <c r="N45" s="24">
        <f>+N29-M29</f>
        <v>-19438.114908344229</v>
      </c>
      <c r="O45" s="24">
        <f>+O29-N29</f>
        <v>-19438.114908344229</v>
      </c>
      <c r="P45" s="24"/>
    </row>
    <row r="46" spans="2:37" x14ac:dyDescent="0.25">
      <c r="B46" s="6" t="s">
        <v>16</v>
      </c>
      <c r="C46" s="6"/>
      <c r="E46" s="24">
        <f t="shared" si="23"/>
        <v>0</v>
      </c>
      <c r="F46" s="24">
        <f t="shared" si="25"/>
        <v>0</v>
      </c>
      <c r="G46" s="24">
        <f t="shared" si="27"/>
        <v>0</v>
      </c>
      <c r="H46" s="24">
        <f t="shared" si="29"/>
        <v>0</v>
      </c>
      <c r="I46" s="24">
        <f t="shared" si="31"/>
        <v>0</v>
      </c>
      <c r="J46" s="24">
        <f>+J30-I30</f>
        <v>0</v>
      </c>
      <c r="K46" s="24">
        <f>+K30-J30</f>
        <v>0</v>
      </c>
      <c r="L46" s="24">
        <f>+L30-K30</f>
        <v>0</v>
      </c>
      <c r="M46" s="24">
        <f>+M30-L30</f>
        <v>0</v>
      </c>
      <c r="N46" s="24"/>
      <c r="O46" s="24">
        <f>+O30-N30</f>
        <v>-21057.957817372895</v>
      </c>
      <c r="P46" s="24"/>
    </row>
    <row r="47" spans="2:37" x14ac:dyDescent="0.25">
      <c r="B47" s="6" t="s">
        <v>17</v>
      </c>
      <c r="C47" s="6"/>
      <c r="E47" s="24">
        <f t="shared" si="23"/>
        <v>0</v>
      </c>
      <c r="F47" s="24">
        <f t="shared" si="25"/>
        <v>0</v>
      </c>
      <c r="G47" s="24">
        <f t="shared" si="27"/>
        <v>0</v>
      </c>
      <c r="H47" s="24">
        <f t="shared" si="29"/>
        <v>0</v>
      </c>
      <c r="I47" s="24">
        <f t="shared" si="31"/>
        <v>0</v>
      </c>
      <c r="J47" s="24">
        <f>+J31-I31</f>
        <v>0</v>
      </c>
      <c r="K47" s="24">
        <f>+K31-J31</f>
        <v>0</v>
      </c>
      <c r="L47" s="24">
        <f>+L31-K31</f>
        <v>0</v>
      </c>
      <c r="M47" s="24">
        <f>+M31-L31</f>
        <v>0</v>
      </c>
      <c r="N47" s="24">
        <f>+N31-M31</f>
        <v>0</v>
      </c>
      <c r="O47" s="24"/>
      <c r="P47" s="24">
        <f>-P19</f>
        <v>-1475434</v>
      </c>
    </row>
    <row r="48" spans="2:37" x14ac:dyDescent="0.25">
      <c r="P48" s="5"/>
    </row>
    <row r="49" spans="2:16" x14ac:dyDescent="0.25">
      <c r="E49" s="5">
        <f>+E19+E35</f>
        <v>1352481.1666666667</v>
      </c>
      <c r="F49" s="5">
        <f t="shared" ref="F49:P49" si="32">+F19+F35</f>
        <v>1342235.0972222222</v>
      </c>
      <c r="G49" s="5">
        <f t="shared" si="32"/>
        <v>1331135.1886574074</v>
      </c>
      <c r="H49" s="5">
        <f t="shared" si="32"/>
        <v>1319110.2877121912</v>
      </c>
      <c r="I49" s="5">
        <f t="shared" si="32"/>
        <v>1306083.3116882073</v>
      </c>
      <c r="J49" s="5">
        <f t="shared" si="32"/>
        <v>1291970.7543288912</v>
      </c>
      <c r="K49" s="5">
        <f t="shared" si="32"/>
        <v>1276682.1505229655</v>
      </c>
      <c r="L49" s="5">
        <f t="shared" si="32"/>
        <v>1260119.4963998792</v>
      </c>
      <c r="M49" s="5">
        <f t="shared" si="32"/>
        <v>1242176.6210998693</v>
      </c>
      <c r="N49" s="5">
        <f t="shared" si="32"/>
        <v>1222738.5061915251</v>
      </c>
      <c r="O49" s="5">
        <f t="shared" si="32"/>
        <v>1201680.5483741523</v>
      </c>
      <c r="P49" s="5">
        <f t="shared" si="32"/>
        <v>0</v>
      </c>
    </row>
    <row r="53" spans="2:16" x14ac:dyDescent="0.25">
      <c r="B53" s="26" t="s">
        <v>105</v>
      </c>
      <c r="C53" s="26"/>
      <c r="D53" s="27">
        <f>+SUM(D54:D66)</f>
        <v>0</v>
      </c>
      <c r="E53" s="27">
        <f t="shared" ref="E53" si="33">+SUM(E54:E66)</f>
        <v>29508.68</v>
      </c>
      <c r="F53" s="27">
        <f t="shared" ref="F53" si="34">+SUM(F54:F66)</f>
        <v>29508.68</v>
      </c>
      <c r="G53" s="27">
        <f t="shared" ref="G53" si="35">+SUM(G54:G66)</f>
        <v>29508.68</v>
      </c>
      <c r="H53" s="27">
        <f t="shared" ref="H53" si="36">+SUM(H54:H66)</f>
        <v>29508.68</v>
      </c>
      <c r="I53" s="27">
        <f t="shared" ref="I53" si="37">+SUM(I54:I66)</f>
        <v>29508.68</v>
      </c>
      <c r="J53" s="27">
        <f t="shared" ref="J53" si="38">+SUM(J54:J66)</f>
        <v>29508.680000000004</v>
      </c>
      <c r="K53" s="27">
        <f t="shared" ref="K53" si="39">+SUM(K54:K66)</f>
        <v>29508.68</v>
      </c>
      <c r="L53" s="27">
        <f t="shared" ref="L53" si="40">+SUM(L54:L66)</f>
        <v>29508.679999999993</v>
      </c>
      <c r="M53" s="27">
        <f t="shared" ref="M53" si="41">+SUM(M54:M66)</f>
        <v>29508.680000000004</v>
      </c>
      <c r="N53" s="27">
        <f t="shared" ref="N53" si="42">+SUM(N54:N66)</f>
        <v>29508.680000000004</v>
      </c>
      <c r="O53" s="27">
        <f t="shared" ref="O53" si="43">+SUM(O54:O66)</f>
        <v>29508.680000000004</v>
      </c>
      <c r="P53" s="27">
        <f>+O53</f>
        <v>29508.680000000004</v>
      </c>
    </row>
    <row r="54" spans="2:16" x14ac:dyDescent="0.25">
      <c r="B54" s="6" t="s">
        <v>6</v>
      </c>
      <c r="C54" s="6"/>
      <c r="E54" s="24">
        <f>+AVERAGE(D20:D20)*$D$12</f>
        <v>29508.68</v>
      </c>
      <c r="F54" s="24">
        <f t="shared" ref="F54:O54" si="44">+AVERAGE(E20:E20)*$D$12</f>
        <v>27049.623333333337</v>
      </c>
      <c r="G54" s="24">
        <f t="shared" si="44"/>
        <v>24590.566666666669</v>
      </c>
      <c r="H54" s="24">
        <f t="shared" si="44"/>
        <v>22131.510000000006</v>
      </c>
      <c r="I54" s="24">
        <f t="shared" si="44"/>
        <v>19672.453333333338</v>
      </c>
      <c r="J54" s="24">
        <f t="shared" si="44"/>
        <v>17213.396666666671</v>
      </c>
      <c r="K54" s="24">
        <f t="shared" si="44"/>
        <v>14754.340000000002</v>
      </c>
      <c r="L54" s="24">
        <f t="shared" si="44"/>
        <v>12295.283333333335</v>
      </c>
      <c r="M54" s="24">
        <f t="shared" si="44"/>
        <v>9836.2266666666692</v>
      </c>
      <c r="N54" s="24">
        <f t="shared" si="44"/>
        <v>7377.1700000000028</v>
      </c>
      <c r="O54" s="24">
        <f t="shared" si="44"/>
        <v>4918.1133333333364</v>
      </c>
      <c r="P54" s="24"/>
    </row>
    <row r="55" spans="2:16" x14ac:dyDescent="0.25">
      <c r="B55" s="6" t="s">
        <v>7</v>
      </c>
      <c r="C55" s="6"/>
      <c r="E55" s="24"/>
      <c r="F55" s="24">
        <f>+AVERAGE(E21:E21)*$E$12</f>
        <v>2459.056666666665</v>
      </c>
      <c r="G55" s="24">
        <f t="shared" ref="G55:O55" si="45">+AVERAGE(F21:F21)*$E$12</f>
        <v>2254.1352777777765</v>
      </c>
      <c r="H55" s="24">
        <f t="shared" si="45"/>
        <v>2049.2138888888876</v>
      </c>
      <c r="I55" s="24">
        <f t="shared" si="45"/>
        <v>1844.2924999999989</v>
      </c>
      <c r="J55" s="24">
        <f t="shared" si="45"/>
        <v>1639.3711111111102</v>
      </c>
      <c r="K55" s="24">
        <f t="shared" si="45"/>
        <v>1434.4497222222215</v>
      </c>
      <c r="L55" s="24">
        <f t="shared" si="45"/>
        <v>1229.5283333333325</v>
      </c>
      <c r="M55" s="24">
        <f t="shared" si="45"/>
        <v>1024.6069444444438</v>
      </c>
      <c r="N55" s="24">
        <f t="shared" si="45"/>
        <v>819.68555555555508</v>
      </c>
      <c r="O55" s="24">
        <f t="shared" si="45"/>
        <v>614.76416666666626</v>
      </c>
      <c r="P55" s="24"/>
    </row>
    <row r="56" spans="2:16" x14ac:dyDescent="0.25">
      <c r="B56" s="6" t="s">
        <v>8</v>
      </c>
      <c r="C56" s="6"/>
      <c r="E56" s="24"/>
      <c r="F56" s="24"/>
      <c r="G56" s="24">
        <f>+AVERAGE(F22:F22)*$F$12</f>
        <v>2663.9780555555549</v>
      </c>
      <c r="H56" s="24">
        <f t="shared" ref="H56:O56" si="46">+AVERAGE(G22:G22)*$F$12</f>
        <v>2441.9798842592586</v>
      </c>
      <c r="I56" s="24">
        <f t="shared" si="46"/>
        <v>2219.9817129629623</v>
      </c>
      <c r="J56" s="24">
        <f t="shared" si="46"/>
        <v>1997.983541666666</v>
      </c>
      <c r="K56" s="24">
        <f t="shared" si="46"/>
        <v>1775.9853703703698</v>
      </c>
      <c r="L56" s="24">
        <f t="shared" si="46"/>
        <v>1553.9871990740733</v>
      </c>
      <c r="M56" s="24">
        <f t="shared" si="46"/>
        <v>1331.989027777777</v>
      </c>
      <c r="N56" s="24">
        <f t="shared" si="46"/>
        <v>1109.9908564814807</v>
      </c>
      <c r="O56" s="24">
        <f t="shared" si="46"/>
        <v>887.99268518518454</v>
      </c>
      <c r="P56" s="24"/>
    </row>
    <row r="57" spans="2:16" x14ac:dyDescent="0.25">
      <c r="B57" s="6" t="s">
        <v>9</v>
      </c>
      <c r="C57" s="6"/>
      <c r="E57" s="24"/>
      <c r="F57" s="24"/>
      <c r="G57" s="24"/>
      <c r="H57" s="24">
        <f>+AVERAGE(G23:G23)*$G$12</f>
        <v>2885.9762268518516</v>
      </c>
      <c r="I57" s="24">
        <f t="shared" ref="I57:O57" si="47">+AVERAGE(H23:H23)*$G$12</f>
        <v>2645.4782079475308</v>
      </c>
      <c r="J57" s="24">
        <f t="shared" si="47"/>
        <v>2404.98018904321</v>
      </c>
      <c r="K57" s="24">
        <f t="shared" si="47"/>
        <v>2164.4821701388887</v>
      </c>
      <c r="L57" s="24">
        <f t="shared" si="47"/>
        <v>1923.9841512345677</v>
      </c>
      <c r="M57" s="24">
        <f t="shared" si="47"/>
        <v>1683.4861323302466</v>
      </c>
      <c r="N57" s="24">
        <f t="shared" si="47"/>
        <v>1442.9881134259256</v>
      </c>
      <c r="O57" s="24">
        <f t="shared" si="47"/>
        <v>1202.4900945216048</v>
      </c>
      <c r="P57" s="24"/>
    </row>
    <row r="58" spans="2:16" x14ac:dyDescent="0.25">
      <c r="B58" s="6" t="s">
        <v>10</v>
      </c>
      <c r="C58" s="6"/>
      <c r="E58" s="24"/>
      <c r="F58" s="24"/>
      <c r="G58" s="24"/>
      <c r="H58" s="24"/>
      <c r="I58" s="24">
        <f>+AVERAGE(H24:H24)*$H$12</f>
        <v>3126.4742457561706</v>
      </c>
      <c r="J58" s="24">
        <f t="shared" ref="J58:O58" si="48">+AVERAGE(I24:I24)*$H$12</f>
        <v>2865.9347252764896</v>
      </c>
      <c r="K58" s="24">
        <f t="shared" si="48"/>
        <v>2605.3952047968087</v>
      </c>
      <c r="L58" s="24">
        <f t="shared" si="48"/>
        <v>2344.8556843171282</v>
      </c>
      <c r="M58" s="24">
        <f t="shared" si="48"/>
        <v>2084.3161638374472</v>
      </c>
      <c r="N58" s="24">
        <f t="shared" si="48"/>
        <v>1823.7766433577665</v>
      </c>
      <c r="O58" s="24">
        <f t="shared" si="48"/>
        <v>1563.2371228780858</v>
      </c>
      <c r="P58" s="24"/>
    </row>
    <row r="59" spans="2:16" x14ac:dyDescent="0.25">
      <c r="B59" s="6" t="s">
        <v>11</v>
      </c>
      <c r="C59" s="6"/>
      <c r="E59" s="24"/>
      <c r="F59" s="24"/>
      <c r="G59" s="24"/>
      <c r="H59" s="24"/>
      <c r="I59" s="24"/>
      <c r="J59" s="24">
        <f>+AVERAGE(I25:I25)*$I$12</f>
        <v>3387.0137662358584</v>
      </c>
      <c r="K59" s="24">
        <f t="shared" ref="K59:O59" si="49">+AVERAGE(J25:J25)*$I$12</f>
        <v>3104.7626190495371</v>
      </c>
      <c r="L59" s="24">
        <f t="shared" si="49"/>
        <v>2822.5114718632158</v>
      </c>
      <c r="M59" s="24">
        <f t="shared" si="49"/>
        <v>2540.260324676894</v>
      </c>
      <c r="N59" s="24">
        <f t="shared" si="49"/>
        <v>2258.0091774905723</v>
      </c>
      <c r="O59" s="24">
        <f t="shared" si="49"/>
        <v>1975.7580303042507</v>
      </c>
      <c r="P59" s="24"/>
    </row>
    <row r="60" spans="2:16" x14ac:dyDescent="0.25">
      <c r="B60" s="6" t="s">
        <v>12</v>
      </c>
      <c r="C60" s="6"/>
      <c r="E60" s="24"/>
      <c r="F60" s="24"/>
      <c r="G60" s="24"/>
      <c r="H60" s="24"/>
      <c r="I60" s="24"/>
      <c r="J60" s="24"/>
      <c r="K60" s="24">
        <f>+AVERAGE(J26:J26)*$J$12</f>
        <v>3669.264913422172</v>
      </c>
      <c r="L60" s="24">
        <f t="shared" ref="L60:O60" si="50">+AVERAGE(K26:K26)*$J$12</f>
        <v>3363.4928373036573</v>
      </c>
      <c r="M60" s="24">
        <f t="shared" si="50"/>
        <v>3057.7207611851431</v>
      </c>
      <c r="N60" s="24">
        <f t="shared" si="50"/>
        <v>2751.9486850666285</v>
      </c>
      <c r="O60" s="24">
        <f t="shared" si="50"/>
        <v>2446.1766089481143</v>
      </c>
      <c r="P60" s="24"/>
    </row>
    <row r="61" spans="2:16" x14ac:dyDescent="0.25">
      <c r="B61" s="6" t="s">
        <v>13</v>
      </c>
      <c r="C61" s="6"/>
      <c r="E61" s="24"/>
      <c r="F61" s="24"/>
      <c r="G61" s="24"/>
      <c r="H61" s="24"/>
      <c r="I61" s="24"/>
      <c r="J61" s="24"/>
      <c r="K61" s="24"/>
      <c r="L61" s="24">
        <f>+AVERAGE(K27:K27)*$K$12</f>
        <v>3975.0369895406861</v>
      </c>
      <c r="M61" s="24">
        <f t="shared" ref="M61:O61" si="51">+AVERAGE(L27:L27)*$K$12</f>
        <v>3643.7839070789623</v>
      </c>
      <c r="N61" s="24">
        <f t="shared" si="51"/>
        <v>3312.5308246172385</v>
      </c>
      <c r="O61" s="24">
        <f t="shared" si="51"/>
        <v>2981.2777421555143</v>
      </c>
      <c r="P61" s="24"/>
    </row>
    <row r="62" spans="2:16" x14ac:dyDescent="0.25">
      <c r="B62" s="6" t="s">
        <v>14</v>
      </c>
      <c r="C62" s="6"/>
      <c r="E62" s="24"/>
      <c r="F62" s="24"/>
      <c r="G62" s="24"/>
      <c r="H62" s="24"/>
      <c r="I62" s="24"/>
      <c r="J62" s="24"/>
      <c r="K62" s="24"/>
      <c r="L62" s="24"/>
      <c r="M62" s="24">
        <f>+AVERAGE(L28:L28)*$L$12</f>
        <v>4306.2900720024199</v>
      </c>
      <c r="N62" s="24">
        <f t="shared" ref="N62:O62" si="52">+AVERAGE(M28:M28)*$L$12</f>
        <v>3947.4325660022187</v>
      </c>
      <c r="O62" s="24">
        <f t="shared" si="52"/>
        <v>3588.5750600020169</v>
      </c>
      <c r="P62" s="24"/>
    </row>
    <row r="63" spans="2:16" x14ac:dyDescent="0.25">
      <c r="B63" s="6" t="s">
        <v>15</v>
      </c>
      <c r="C63" s="6"/>
      <c r="E63" s="24"/>
      <c r="F63" s="24"/>
      <c r="G63" s="24"/>
      <c r="H63" s="24"/>
      <c r="I63" s="24"/>
      <c r="J63" s="24"/>
      <c r="K63" s="24"/>
      <c r="L63" s="24"/>
      <c r="M63" s="24"/>
      <c r="N63" s="24">
        <f>+AVERAGE(M29:M29)*$M$12</f>
        <v>4665.1475780026149</v>
      </c>
      <c r="O63" s="24">
        <f t="shared" ref="O63" si="53">+AVERAGE(N29:N29)*$M$12</f>
        <v>4276.3852798357302</v>
      </c>
      <c r="P63" s="24"/>
    </row>
    <row r="64" spans="2:16" x14ac:dyDescent="0.25">
      <c r="B64" s="6" t="s">
        <v>16</v>
      </c>
      <c r="C64" s="6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>
        <f>+AVERAGE(N30:N30)*$N$12</f>
        <v>5053.9098761694977</v>
      </c>
      <c r="P64" s="24"/>
    </row>
    <row r="65" spans="2:35" x14ac:dyDescent="0.25">
      <c r="B65" s="6" t="s">
        <v>17</v>
      </c>
      <c r="C65" s="6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</row>
    <row r="67" spans="2:35" s="1" customFormat="1" x14ac:dyDescent="0.25">
      <c r="E67" s="29">
        <f>+SUM(E54:E65)</f>
        <v>29508.68</v>
      </c>
      <c r="F67" s="29">
        <f t="shared" ref="F67:O67" si="54">+SUM(F54:F65)</f>
        <v>29508.68</v>
      </c>
      <c r="G67" s="29">
        <f t="shared" si="54"/>
        <v>29508.68</v>
      </c>
      <c r="H67" s="29">
        <f t="shared" si="54"/>
        <v>29508.68</v>
      </c>
      <c r="I67" s="29">
        <f t="shared" si="54"/>
        <v>29508.68</v>
      </c>
      <c r="J67" s="29">
        <f t="shared" si="54"/>
        <v>29508.680000000004</v>
      </c>
      <c r="K67" s="29">
        <f t="shared" si="54"/>
        <v>29508.68</v>
      </c>
      <c r="L67" s="29">
        <f t="shared" si="54"/>
        <v>29508.679999999993</v>
      </c>
      <c r="M67" s="29">
        <f t="shared" si="54"/>
        <v>29508.680000000004</v>
      </c>
      <c r="N67" s="29">
        <f t="shared" si="54"/>
        <v>29508.680000000004</v>
      </c>
      <c r="O67" s="29">
        <f t="shared" si="54"/>
        <v>29508.680000000004</v>
      </c>
      <c r="P67" s="29">
        <f>+O67</f>
        <v>29508.680000000004</v>
      </c>
      <c r="AI67" s="15"/>
    </row>
  </sheetData>
  <mergeCells count="1">
    <mergeCell ref="D16:O1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60"/>
  <sheetViews>
    <sheetView showGridLines="0" workbookViewId="0">
      <selection activeCell="H14" sqref="H14"/>
    </sheetView>
  </sheetViews>
  <sheetFormatPr baseColWidth="10" defaultRowHeight="15" x14ac:dyDescent="0.25"/>
  <cols>
    <col min="1" max="1" width="11.5703125" bestFit="1" customWidth="1"/>
    <col min="2" max="2" width="12.28515625" bestFit="1" customWidth="1"/>
    <col min="3" max="3" width="13.85546875" bestFit="1" customWidth="1"/>
    <col min="4" max="4" width="9.7109375" bestFit="1" customWidth="1"/>
    <col min="5" max="5" width="11.28515625" bestFit="1" customWidth="1"/>
    <col min="6" max="6" width="12.28515625" bestFit="1" customWidth="1"/>
    <col min="7" max="7" width="8.5703125" bestFit="1" customWidth="1"/>
    <col min="8" max="8" width="1.28515625" style="14" customWidth="1"/>
    <col min="9" max="9" width="12.28515625" bestFit="1" customWidth="1"/>
    <col min="10" max="10" width="12.5703125" bestFit="1" customWidth="1"/>
    <col min="11" max="11" width="11.5703125" bestFit="1" customWidth="1"/>
    <col min="12" max="12" width="11.28515625" bestFit="1" customWidth="1"/>
    <col min="13" max="13" width="5.140625" bestFit="1" customWidth="1"/>
    <col min="14" max="15" width="12.28515625" bestFit="1" customWidth="1"/>
    <col min="16" max="18" width="6.140625" bestFit="1" customWidth="1"/>
  </cols>
  <sheetData>
    <row r="2" spans="1:22" x14ac:dyDescent="0.25">
      <c r="A2" s="12" t="s">
        <v>0</v>
      </c>
      <c r="J2" s="5"/>
      <c r="K2" s="5"/>
    </row>
    <row r="3" spans="1:22" x14ac:dyDescent="0.25">
      <c r="B3" s="3"/>
      <c r="D3" s="3"/>
      <c r="E3" s="3"/>
      <c r="J3" s="5"/>
    </row>
    <row r="4" spans="1:22" x14ac:dyDescent="0.25">
      <c r="A4" t="s">
        <v>108</v>
      </c>
      <c r="B4" s="3">
        <v>-70000000</v>
      </c>
      <c r="I4" s="3"/>
      <c r="J4" s="5"/>
      <c r="O4" s="3"/>
      <c r="P4" s="4"/>
      <c r="R4" s="2"/>
      <c r="U4" s="3"/>
    </row>
    <row r="5" spans="1:22" x14ac:dyDescent="0.25">
      <c r="A5" t="s">
        <v>91</v>
      </c>
      <c r="B5" s="5">
        <v>48</v>
      </c>
      <c r="C5" s="19"/>
      <c r="I5" s="2">
        <f>+IRR(I12:I24)</f>
        <v>-0.28645681760492492</v>
      </c>
      <c r="J5" s="5"/>
      <c r="O5" s="5"/>
    </row>
    <row r="6" spans="1:22" x14ac:dyDescent="0.25">
      <c r="A6" t="s">
        <v>93</v>
      </c>
      <c r="B6" s="2">
        <v>0.06</v>
      </c>
      <c r="G6" s="1" t="s">
        <v>97</v>
      </c>
      <c r="H6" s="15"/>
      <c r="I6" s="11">
        <f>+IRR(I12:I60)</f>
        <v>5.4407040726538458E-3</v>
      </c>
      <c r="J6" s="2"/>
      <c r="K6" s="2"/>
      <c r="O6" s="5"/>
    </row>
    <row r="7" spans="1:22" x14ac:dyDescent="0.25">
      <c r="A7" t="s">
        <v>92</v>
      </c>
      <c r="B7" s="4">
        <f>+(1+B6)^(0.0833333333333333)-1</f>
        <v>4.8675505653430484E-3</v>
      </c>
      <c r="C7" s="2">
        <f>+B7*12</f>
        <v>5.8410606784116581E-2</v>
      </c>
      <c r="G7" s="12" t="s">
        <v>98</v>
      </c>
      <c r="H7" s="16"/>
      <c r="I7" s="13">
        <f>+(1+I6)^(12)-1</f>
        <v>6.7278000995057319E-2</v>
      </c>
      <c r="J7" s="2"/>
      <c r="K7" s="2"/>
      <c r="O7" s="5"/>
    </row>
    <row r="8" spans="1:22" x14ac:dyDescent="0.25">
      <c r="A8" t="s">
        <v>1</v>
      </c>
      <c r="B8">
        <v>0</v>
      </c>
      <c r="O8" s="5"/>
    </row>
    <row r="9" spans="1:22" x14ac:dyDescent="0.25">
      <c r="B9" s="4"/>
      <c r="O9" s="5"/>
    </row>
    <row r="10" spans="1:22" x14ac:dyDescent="0.25">
      <c r="C10" s="9" t="s">
        <v>2</v>
      </c>
      <c r="D10" s="9" t="s">
        <v>3</v>
      </c>
      <c r="E10" s="9" t="s">
        <v>4</v>
      </c>
      <c r="F10" s="9" t="s">
        <v>5</v>
      </c>
      <c r="G10" s="9" t="s">
        <v>95</v>
      </c>
      <c r="H10" s="17"/>
      <c r="I10" s="9" t="s">
        <v>96</v>
      </c>
    </row>
    <row r="11" spans="1:22" x14ac:dyDescent="0.25">
      <c r="B11" s="6"/>
      <c r="F11" s="5"/>
      <c r="O11" s="6"/>
      <c r="S11" s="5"/>
    </row>
    <row r="12" spans="1:22" x14ac:dyDescent="0.25">
      <c r="B12" s="8">
        <v>0</v>
      </c>
      <c r="C12" s="7"/>
      <c r="D12" s="3"/>
      <c r="E12" s="5"/>
      <c r="F12" s="5">
        <f>+$B$4</f>
        <v>-70000000</v>
      </c>
      <c r="G12" s="3"/>
      <c r="H12" s="18"/>
      <c r="I12" s="3">
        <f>+F12</f>
        <v>-70000000</v>
      </c>
      <c r="L12" s="5"/>
      <c r="N12" s="5"/>
      <c r="O12" s="6"/>
      <c r="P12" s="7"/>
      <c r="Q12" s="3"/>
      <c r="R12" s="5"/>
      <c r="S12" s="5"/>
      <c r="T12" s="3"/>
      <c r="U12" s="3"/>
      <c r="V12" s="5"/>
    </row>
    <row r="13" spans="1:22" x14ac:dyDescent="0.25">
      <c r="B13" s="6" t="s">
        <v>6</v>
      </c>
      <c r="C13" s="7"/>
      <c r="D13" s="3">
        <f>(F12+SUM(D$12:D12))*$B$7</f>
        <v>-340728.53957401338</v>
      </c>
      <c r="E13" s="5"/>
      <c r="F13" s="5">
        <f>+F12</f>
        <v>-70000000</v>
      </c>
      <c r="G13" s="3">
        <f t="shared" ref="G13:G60" si="0">+-F12/1000000*$B$8</f>
        <v>0</v>
      </c>
      <c r="H13" s="18"/>
      <c r="I13" s="10">
        <f>+-D13</f>
        <v>340728.53957401338</v>
      </c>
      <c r="L13" s="3"/>
      <c r="N13" s="3"/>
      <c r="O13" s="6"/>
      <c r="P13" s="7"/>
      <c r="Q13" s="3"/>
      <c r="R13" s="5"/>
      <c r="S13" s="5"/>
      <c r="T13" s="3"/>
      <c r="U13" s="3"/>
      <c r="V13" s="5"/>
    </row>
    <row r="14" spans="1:22" x14ac:dyDescent="0.25">
      <c r="B14" s="6" t="s">
        <v>7</v>
      </c>
      <c r="C14" s="7"/>
      <c r="D14" s="3">
        <f>(F13+SUM(D$12:D13))*$B$7</f>
        <v>-342387.05296944536</v>
      </c>
      <c r="E14" s="5"/>
      <c r="F14" s="5">
        <f t="shared" ref="F14:F60" si="1">+F13</f>
        <v>-70000000</v>
      </c>
      <c r="G14" s="3">
        <f t="shared" si="0"/>
        <v>0</v>
      </c>
      <c r="H14" s="18"/>
      <c r="I14" s="10">
        <f t="shared" ref="I14:I59" si="2">+-D14</f>
        <v>342387.05296944536</v>
      </c>
      <c r="N14" s="3"/>
      <c r="O14" s="6"/>
      <c r="P14" s="7"/>
      <c r="Q14" s="3"/>
      <c r="R14" s="5"/>
      <c r="S14" s="5"/>
      <c r="T14" s="3"/>
      <c r="U14" s="3"/>
      <c r="V14" s="5"/>
    </row>
    <row r="15" spans="1:22" x14ac:dyDescent="0.25">
      <c r="B15" s="6" t="s">
        <v>8</v>
      </c>
      <c r="C15" s="7"/>
      <c r="D15" s="3">
        <f>(F14+SUM(D$12:D14))*$B$7</f>
        <v>-344053.63926269294</v>
      </c>
      <c r="E15" s="5"/>
      <c r="F15" s="5">
        <f t="shared" si="1"/>
        <v>-70000000</v>
      </c>
      <c r="G15" s="3">
        <f t="shared" si="0"/>
        <v>0</v>
      </c>
      <c r="H15" s="18"/>
      <c r="I15" s="10">
        <f t="shared" si="2"/>
        <v>344053.63926269294</v>
      </c>
      <c r="N15" s="3"/>
      <c r="O15" s="6"/>
      <c r="P15" s="7"/>
      <c r="Q15" s="3"/>
      <c r="R15" s="5"/>
      <c r="S15" s="5"/>
      <c r="T15" s="3"/>
      <c r="U15" s="3"/>
      <c r="V15" s="5"/>
    </row>
    <row r="16" spans="1:22" x14ac:dyDescent="0.25">
      <c r="B16" s="6" t="s">
        <v>9</v>
      </c>
      <c r="C16" s="7"/>
      <c r="D16" s="3">
        <f>(F15+SUM(D$12:D15))*$B$7</f>
        <v>-345728.33774899447</v>
      </c>
      <c r="E16" s="5"/>
      <c r="F16" s="5">
        <f t="shared" si="1"/>
        <v>-70000000</v>
      </c>
      <c r="G16" s="3">
        <f t="shared" si="0"/>
        <v>0</v>
      </c>
      <c r="H16" s="18"/>
      <c r="I16" s="10">
        <f t="shared" si="2"/>
        <v>345728.33774899447</v>
      </c>
      <c r="O16" s="6"/>
      <c r="P16" s="7"/>
      <c r="Q16" s="3"/>
      <c r="R16" s="5"/>
      <c r="S16" s="5"/>
      <c r="T16" s="3"/>
      <c r="U16" s="3"/>
      <c r="V16" s="5"/>
    </row>
    <row r="17" spans="2:22" x14ac:dyDescent="0.25">
      <c r="B17" s="6" t="s">
        <v>10</v>
      </c>
      <c r="C17" s="7"/>
      <c r="D17" s="3">
        <f>(F16+SUM(D$12:D16))*$B$7</f>
        <v>-347411.18791485968</v>
      </c>
      <c r="E17" s="5"/>
      <c r="F17" s="5">
        <f t="shared" si="1"/>
        <v>-70000000</v>
      </c>
      <c r="G17" s="3">
        <f t="shared" si="0"/>
        <v>0</v>
      </c>
      <c r="H17" s="18"/>
      <c r="I17" s="10">
        <f t="shared" si="2"/>
        <v>347411.18791485968</v>
      </c>
      <c r="O17" s="6"/>
      <c r="P17" s="7"/>
      <c r="Q17" s="3"/>
      <c r="R17" s="5"/>
      <c r="S17" s="5"/>
      <c r="T17" s="3"/>
      <c r="U17" s="3"/>
      <c r="V17" s="5"/>
    </row>
    <row r="18" spans="2:22" x14ac:dyDescent="0.25">
      <c r="B18" s="6" t="s">
        <v>11</v>
      </c>
      <c r="C18" s="7"/>
      <c r="D18" s="3">
        <f>(F17+SUM(D$12:D17))*$B$7</f>
        <v>-349102.22943900112</v>
      </c>
      <c r="E18" s="5"/>
      <c r="F18" s="5">
        <f t="shared" si="1"/>
        <v>-70000000</v>
      </c>
      <c r="G18" s="3">
        <f t="shared" si="0"/>
        <v>0</v>
      </c>
      <c r="H18" s="18"/>
      <c r="I18" s="10">
        <f t="shared" si="2"/>
        <v>349102.22943900112</v>
      </c>
      <c r="J18" s="5"/>
      <c r="O18" s="6"/>
      <c r="P18" s="7"/>
      <c r="Q18" s="3"/>
      <c r="R18" s="5"/>
      <c r="S18" s="5"/>
      <c r="T18" s="3"/>
      <c r="U18" s="3"/>
      <c r="V18" s="5"/>
    </row>
    <row r="19" spans="2:22" x14ac:dyDescent="0.25">
      <c r="B19" s="6" t="s">
        <v>12</v>
      </c>
      <c r="C19" s="7"/>
      <c r="D19" s="3">
        <f>(F18+SUM(D$12:D18))*$B$7</f>
        <v>-350801.50219326944</v>
      </c>
      <c r="E19" s="5"/>
      <c r="F19" s="5">
        <f t="shared" si="1"/>
        <v>-70000000</v>
      </c>
      <c r="G19" s="3">
        <f t="shared" si="0"/>
        <v>0</v>
      </c>
      <c r="H19" s="18"/>
      <c r="I19" s="10">
        <f t="shared" si="2"/>
        <v>350801.50219326944</v>
      </c>
      <c r="J19" s="5"/>
      <c r="O19" s="6"/>
      <c r="P19" s="7"/>
      <c r="Q19" s="3"/>
      <c r="R19" s="5"/>
      <c r="S19" s="5"/>
      <c r="T19" s="3"/>
      <c r="U19" s="3"/>
      <c r="V19" s="5"/>
    </row>
    <row r="20" spans="2:22" x14ac:dyDescent="0.25">
      <c r="B20" s="6" t="s">
        <v>13</v>
      </c>
      <c r="C20" s="7"/>
      <c r="D20" s="3">
        <f>(F19+SUM(D$12:D19))*$B$7</f>
        <v>-352509.04624359345</v>
      </c>
      <c r="E20" s="5"/>
      <c r="F20" s="5">
        <f t="shared" si="1"/>
        <v>-70000000</v>
      </c>
      <c r="G20" s="3">
        <f t="shared" si="0"/>
        <v>0</v>
      </c>
      <c r="H20" s="18"/>
      <c r="I20" s="10">
        <f t="shared" si="2"/>
        <v>352509.04624359345</v>
      </c>
      <c r="J20" s="5"/>
      <c r="O20" s="6"/>
      <c r="P20" s="7"/>
      <c r="Q20" s="3"/>
      <c r="R20" s="5"/>
      <c r="S20" s="5"/>
      <c r="T20" s="3"/>
      <c r="U20" s="3"/>
      <c r="V20" s="5"/>
    </row>
    <row r="21" spans="2:22" x14ac:dyDescent="0.25">
      <c r="B21" s="6" t="s">
        <v>14</v>
      </c>
      <c r="C21" s="7"/>
      <c r="D21" s="3">
        <f>(F20+SUM(D$12:D20))*$B$7</f>
        <v>-354224.901850925</v>
      </c>
      <c r="E21" s="5"/>
      <c r="F21" s="5">
        <f t="shared" si="1"/>
        <v>-70000000</v>
      </c>
      <c r="G21" s="3">
        <f t="shared" si="0"/>
        <v>0</v>
      </c>
      <c r="H21" s="18"/>
      <c r="I21" s="10">
        <f t="shared" si="2"/>
        <v>354224.901850925</v>
      </c>
      <c r="J21" s="5"/>
      <c r="O21" s="6"/>
      <c r="P21" s="7"/>
      <c r="Q21" s="3"/>
      <c r="R21" s="5"/>
      <c r="S21" s="5"/>
      <c r="T21" s="3"/>
      <c r="U21" s="3"/>
      <c r="V21" s="5"/>
    </row>
    <row r="22" spans="2:22" x14ac:dyDescent="0.25">
      <c r="B22" s="6" t="s">
        <v>15</v>
      </c>
      <c r="C22" s="7"/>
      <c r="D22" s="3">
        <f>(F21+SUM(D$12:D21))*$B$7</f>
        <v>-355949.10947218805</v>
      </c>
      <c r="E22" s="5"/>
      <c r="F22" s="5">
        <f t="shared" si="1"/>
        <v>-70000000</v>
      </c>
      <c r="G22" s="3">
        <f t="shared" si="0"/>
        <v>0</v>
      </c>
      <c r="H22" s="18"/>
      <c r="I22" s="10">
        <f t="shared" si="2"/>
        <v>355949.10947218805</v>
      </c>
      <c r="J22" s="5"/>
      <c r="O22" s="6"/>
      <c r="P22" s="7"/>
      <c r="Q22" s="3"/>
      <c r="R22" s="5"/>
      <c r="S22" s="5"/>
      <c r="T22" s="3"/>
      <c r="U22" s="3"/>
      <c r="V22" s="5"/>
    </row>
    <row r="23" spans="2:22" x14ac:dyDescent="0.25">
      <c r="B23" s="6" t="s">
        <v>16</v>
      </c>
      <c r="C23" s="7"/>
      <c r="D23" s="3">
        <f>(F22+SUM(D$12:D22))*$B$7</f>
        <v>-357681.70976123278</v>
      </c>
      <c r="E23" s="5"/>
      <c r="F23" s="5">
        <f t="shared" si="1"/>
        <v>-70000000</v>
      </c>
      <c r="G23" s="3">
        <f t="shared" si="0"/>
        <v>0</v>
      </c>
      <c r="H23" s="18"/>
      <c r="I23" s="10">
        <f t="shared" si="2"/>
        <v>357681.70976123278</v>
      </c>
      <c r="J23" s="5"/>
      <c r="O23" s="6" t="s">
        <v>99</v>
      </c>
      <c r="P23" s="7"/>
      <c r="Q23" s="3"/>
      <c r="R23" s="5"/>
      <c r="S23" s="5"/>
      <c r="T23" s="3"/>
      <c r="U23" s="3"/>
      <c r="V23" s="5"/>
    </row>
    <row r="24" spans="2:22" x14ac:dyDescent="0.25">
      <c r="B24" s="6" t="s">
        <v>17</v>
      </c>
      <c r="C24" s="7"/>
      <c r="D24" s="3">
        <f>(F23+SUM(D$12:D23))*$B$7</f>
        <v>-359422.74356979388</v>
      </c>
      <c r="E24" s="5"/>
      <c r="F24" s="5">
        <f t="shared" si="1"/>
        <v>-70000000</v>
      </c>
      <c r="G24" s="3">
        <f t="shared" si="0"/>
        <v>0</v>
      </c>
      <c r="H24" s="18"/>
      <c r="I24" s="10">
        <f t="shared" si="2"/>
        <v>359422.74356979388</v>
      </c>
      <c r="J24" s="5">
        <f>+AVERAGE(F12:F23)</f>
        <v>-70000000</v>
      </c>
      <c r="K24" s="5">
        <f>+SUM(I13:I24)</f>
        <v>4200000.0000000093</v>
      </c>
      <c r="L24" s="5">
        <f>+SUM(D13:D24)</f>
        <v>-4200000.0000000093</v>
      </c>
      <c r="M24" s="5">
        <f>+-SUM(G13:G24)</f>
        <v>0</v>
      </c>
      <c r="N24" s="5">
        <f>+SUM(E13:E24)</f>
        <v>0</v>
      </c>
      <c r="O24" s="5">
        <f>+M24+L24</f>
        <v>-4200000.0000000093</v>
      </c>
      <c r="P24" s="2">
        <f>+O24/J24</f>
        <v>6.000000000000013E-2</v>
      </c>
      <c r="Q24" s="2">
        <f>+P24/12</f>
        <v>5.0000000000000105E-3</v>
      </c>
      <c r="R24" s="13">
        <f>+(1+Q24)^(12)-1</f>
        <v>6.1677811864500942E-2</v>
      </c>
      <c r="S24" s="5"/>
      <c r="T24" s="3"/>
      <c r="U24" s="3"/>
      <c r="V24" s="5"/>
    </row>
    <row r="25" spans="2:22" x14ac:dyDescent="0.25">
      <c r="B25" s="6" t="s">
        <v>18</v>
      </c>
      <c r="C25" s="7"/>
      <c r="D25" s="3">
        <f>(F24+SUM(D$12:D24))*$B$7</f>
        <v>-361172.25194845424</v>
      </c>
      <c r="E25" s="5"/>
      <c r="F25" s="5">
        <f t="shared" si="1"/>
        <v>-70000000</v>
      </c>
      <c r="G25" s="3">
        <f t="shared" si="0"/>
        <v>0</v>
      </c>
      <c r="H25" s="18"/>
      <c r="I25" s="10">
        <f t="shared" si="2"/>
        <v>361172.25194845424</v>
      </c>
      <c r="J25" s="5"/>
      <c r="O25" s="6"/>
      <c r="P25" s="7"/>
      <c r="Q25" s="3"/>
      <c r="R25" s="5"/>
      <c r="S25" s="5"/>
      <c r="T25" s="3"/>
      <c r="U25" s="3"/>
      <c r="V25" s="5"/>
    </row>
    <row r="26" spans="2:22" x14ac:dyDescent="0.25">
      <c r="B26" s="6" t="s">
        <v>19</v>
      </c>
      <c r="C26" s="7"/>
      <c r="D26" s="3">
        <f>(F25+SUM(D$12:D25))*$B$7</f>
        <v>-362930.27614761214</v>
      </c>
      <c r="E26" s="5"/>
      <c r="F26" s="5">
        <f t="shared" si="1"/>
        <v>-70000000</v>
      </c>
      <c r="G26" s="3">
        <f t="shared" si="0"/>
        <v>0</v>
      </c>
      <c r="H26" s="18"/>
      <c r="I26" s="10">
        <f t="shared" si="2"/>
        <v>362930.27614761214</v>
      </c>
      <c r="J26" s="5"/>
      <c r="O26" s="6"/>
      <c r="P26" s="7"/>
      <c r="Q26" s="3"/>
      <c r="R26" s="5"/>
      <c r="S26" s="5"/>
      <c r="T26" s="3"/>
      <c r="U26" s="3"/>
      <c r="V26" s="5"/>
    </row>
    <row r="27" spans="2:22" x14ac:dyDescent="0.25">
      <c r="B27" s="6" t="s">
        <v>20</v>
      </c>
      <c r="C27" s="7"/>
      <c r="D27" s="3">
        <f>(F26+SUM(D$12:D26))*$B$7</f>
        <v>-364696.85761845461</v>
      </c>
      <c r="E27" s="5"/>
      <c r="F27" s="5">
        <f t="shared" si="1"/>
        <v>-70000000</v>
      </c>
      <c r="G27" s="3">
        <f t="shared" si="0"/>
        <v>0</v>
      </c>
      <c r="H27" s="18"/>
      <c r="I27" s="10">
        <f t="shared" si="2"/>
        <v>364696.85761845461</v>
      </c>
      <c r="J27" s="5"/>
      <c r="O27" s="6"/>
      <c r="P27" s="7"/>
      <c r="Q27" s="3"/>
      <c r="R27" s="5"/>
      <c r="S27" s="5"/>
      <c r="T27" s="3"/>
      <c r="U27" s="3"/>
      <c r="V27" s="5"/>
    </row>
    <row r="28" spans="2:22" x14ac:dyDescent="0.25">
      <c r="B28" s="6" t="s">
        <v>21</v>
      </c>
      <c r="C28" s="7"/>
      <c r="D28" s="3">
        <f>(F27+SUM(D$12:D27))*$B$7</f>
        <v>-366472.0380139341</v>
      </c>
      <c r="E28" s="5"/>
      <c r="F28" s="5">
        <f t="shared" si="1"/>
        <v>-70000000</v>
      </c>
      <c r="G28" s="3">
        <f t="shared" si="0"/>
        <v>0</v>
      </c>
      <c r="H28" s="18"/>
      <c r="I28" s="10">
        <f t="shared" si="2"/>
        <v>366472.0380139341</v>
      </c>
      <c r="J28" s="5"/>
      <c r="O28" s="6"/>
      <c r="P28" s="7"/>
      <c r="Q28" s="3"/>
      <c r="R28" s="5"/>
      <c r="S28" s="5"/>
      <c r="T28" s="3"/>
      <c r="U28" s="3"/>
      <c r="V28" s="5"/>
    </row>
    <row r="29" spans="2:22" x14ac:dyDescent="0.25">
      <c r="B29" s="6" t="s">
        <v>22</v>
      </c>
      <c r="C29" s="7"/>
      <c r="D29" s="3">
        <f>(F28+SUM(D$12:D28))*$B$7</f>
        <v>-368255.85918975127</v>
      </c>
      <c r="E29" s="5"/>
      <c r="F29" s="5">
        <f t="shared" si="1"/>
        <v>-70000000</v>
      </c>
      <c r="G29" s="3">
        <f t="shared" si="0"/>
        <v>0</v>
      </c>
      <c r="H29" s="18"/>
      <c r="I29" s="10">
        <f t="shared" si="2"/>
        <v>368255.85918975127</v>
      </c>
      <c r="J29" s="5"/>
      <c r="O29" s="6"/>
      <c r="P29" s="7"/>
      <c r="Q29" s="3"/>
      <c r="R29" s="5"/>
      <c r="S29" s="5"/>
      <c r="T29" s="3"/>
      <c r="U29" s="3"/>
      <c r="V29" s="5"/>
    </row>
    <row r="30" spans="2:22" x14ac:dyDescent="0.25">
      <c r="B30" s="6" t="s">
        <v>23</v>
      </c>
      <c r="C30" s="7"/>
      <c r="D30" s="3">
        <f>(F29+SUM(D$12:D29))*$B$7</f>
        <v>-370048.36320534121</v>
      </c>
      <c r="E30" s="5"/>
      <c r="F30" s="5">
        <f t="shared" si="1"/>
        <v>-70000000</v>
      </c>
      <c r="G30" s="3">
        <f t="shared" si="0"/>
        <v>0</v>
      </c>
      <c r="H30" s="18"/>
      <c r="I30" s="10">
        <f t="shared" si="2"/>
        <v>370048.36320534121</v>
      </c>
      <c r="J30" s="5"/>
      <c r="O30" s="6"/>
      <c r="P30" s="7"/>
      <c r="Q30" s="3"/>
      <c r="R30" s="5"/>
      <c r="S30" s="5"/>
      <c r="T30" s="3"/>
      <c r="U30" s="3"/>
      <c r="V30" s="5"/>
    </row>
    <row r="31" spans="2:22" x14ac:dyDescent="0.25">
      <c r="B31" s="6" t="s">
        <v>24</v>
      </c>
      <c r="C31" s="7"/>
      <c r="D31" s="3">
        <f>(F30+SUM(D$12:D30))*$B$7</f>
        <v>-371849.59232486563</v>
      </c>
      <c r="E31" s="5"/>
      <c r="F31" s="5">
        <f t="shared" si="1"/>
        <v>-70000000</v>
      </c>
      <c r="G31" s="3">
        <f t="shared" si="0"/>
        <v>0</v>
      </c>
      <c r="H31" s="18"/>
      <c r="I31" s="10">
        <f t="shared" si="2"/>
        <v>371849.59232486563</v>
      </c>
      <c r="J31" s="5"/>
      <c r="O31" s="6"/>
      <c r="P31" s="7"/>
      <c r="Q31" s="3"/>
      <c r="R31" s="5"/>
      <c r="S31" s="5"/>
      <c r="T31" s="3"/>
      <c r="U31" s="3"/>
      <c r="V31" s="5"/>
    </row>
    <row r="32" spans="2:22" x14ac:dyDescent="0.25">
      <c r="B32" s="6" t="s">
        <v>25</v>
      </c>
      <c r="C32" s="7"/>
      <c r="D32" s="3">
        <f>(F31+SUM(D$12:D31))*$B$7</f>
        <v>-373659.58901820914</v>
      </c>
      <c r="E32" s="5"/>
      <c r="F32" s="5">
        <f t="shared" si="1"/>
        <v>-70000000</v>
      </c>
      <c r="G32" s="3">
        <f t="shared" si="0"/>
        <v>0</v>
      </c>
      <c r="H32" s="18"/>
      <c r="I32" s="10">
        <f t="shared" si="2"/>
        <v>373659.58901820914</v>
      </c>
      <c r="J32" s="5"/>
      <c r="O32" s="6"/>
      <c r="P32" s="7"/>
      <c r="Q32" s="3"/>
      <c r="R32" s="5"/>
      <c r="S32" s="5"/>
      <c r="T32" s="3"/>
      <c r="U32" s="3"/>
      <c r="V32" s="5"/>
    </row>
    <row r="33" spans="2:22" x14ac:dyDescent="0.25">
      <c r="B33" s="6" t="s">
        <v>26</v>
      </c>
      <c r="C33" s="7"/>
      <c r="D33" s="3">
        <f>(F32+SUM(D$12:D32))*$B$7</f>
        <v>-375478.39596198057</v>
      </c>
      <c r="E33" s="5"/>
      <c r="F33" s="5">
        <f t="shared" si="1"/>
        <v>-70000000</v>
      </c>
      <c r="G33" s="3">
        <f t="shared" si="0"/>
        <v>0</v>
      </c>
      <c r="H33" s="18"/>
      <c r="I33" s="10">
        <f t="shared" si="2"/>
        <v>375478.39596198057</v>
      </c>
      <c r="J33" s="5"/>
      <c r="O33" s="6"/>
      <c r="P33" s="7"/>
      <c r="Q33" s="3"/>
      <c r="R33" s="5"/>
      <c r="S33" s="5"/>
      <c r="T33" s="3"/>
      <c r="U33" s="3"/>
      <c r="V33" s="5"/>
    </row>
    <row r="34" spans="2:22" x14ac:dyDescent="0.25">
      <c r="B34" s="6" t="s">
        <v>27</v>
      </c>
      <c r="C34" s="7"/>
      <c r="D34" s="3">
        <f>(F33+SUM(D$12:D33))*$B$7</f>
        <v>-377306.05604051938</v>
      </c>
      <c r="E34" s="5"/>
      <c r="F34" s="5">
        <f t="shared" si="1"/>
        <v>-70000000</v>
      </c>
      <c r="G34" s="3">
        <f t="shared" si="0"/>
        <v>0</v>
      </c>
      <c r="H34" s="18"/>
      <c r="I34" s="10">
        <f t="shared" si="2"/>
        <v>377306.05604051938</v>
      </c>
      <c r="J34" s="5"/>
      <c r="O34" s="6"/>
      <c r="P34" s="7"/>
      <c r="Q34" s="3"/>
      <c r="R34" s="5"/>
      <c r="S34" s="5"/>
      <c r="T34" s="3"/>
      <c r="U34" s="3"/>
      <c r="V34" s="5"/>
    </row>
    <row r="35" spans="2:22" x14ac:dyDescent="0.25">
      <c r="B35" s="6" t="s">
        <v>28</v>
      </c>
      <c r="C35" s="7"/>
      <c r="D35" s="3">
        <f>(F34+SUM(D$12:D34))*$B$7</f>
        <v>-379142.6123469068</v>
      </c>
      <c r="E35" s="5"/>
      <c r="F35" s="5">
        <f t="shared" si="1"/>
        <v>-70000000</v>
      </c>
      <c r="G35" s="3">
        <f t="shared" si="0"/>
        <v>0</v>
      </c>
      <c r="H35" s="18"/>
      <c r="I35" s="10">
        <f t="shared" si="2"/>
        <v>379142.6123469068</v>
      </c>
      <c r="J35" s="5"/>
      <c r="O35" s="6" t="s">
        <v>99</v>
      </c>
      <c r="P35" s="7"/>
      <c r="Q35" s="3"/>
      <c r="R35" s="5"/>
      <c r="S35" s="5"/>
      <c r="T35" s="3"/>
      <c r="U35" s="3"/>
      <c r="V35" s="5"/>
    </row>
    <row r="36" spans="2:22" x14ac:dyDescent="0.25">
      <c r="B36" s="6" t="s">
        <v>29</v>
      </c>
      <c r="C36" s="7"/>
      <c r="D36" s="3">
        <f>(F35+SUM(D$12:D35))*$B$7</f>
        <v>-380988.10818398162</v>
      </c>
      <c r="E36" s="5"/>
      <c r="F36" s="5">
        <f t="shared" si="1"/>
        <v>-70000000</v>
      </c>
      <c r="G36" s="3">
        <f t="shared" si="0"/>
        <v>0</v>
      </c>
      <c r="H36" s="18"/>
      <c r="I36" s="10">
        <f t="shared" si="2"/>
        <v>380988.10818398162</v>
      </c>
      <c r="J36" s="5">
        <f>+AVERAGE(F24:F35)</f>
        <v>-70000000</v>
      </c>
      <c r="K36" s="5">
        <f>+SUM(I25:I36)</f>
        <v>4452000.0000000102</v>
      </c>
      <c r="L36" s="5">
        <f>+SUM(D25:D36)</f>
        <v>-4452000.0000000102</v>
      </c>
      <c r="M36" s="5">
        <f>+-SUM(G25:G36)</f>
        <v>0</v>
      </c>
      <c r="N36" s="5">
        <f>+SUM(E25:E36)</f>
        <v>0</v>
      </c>
      <c r="O36" s="5">
        <f>+M36+L36</f>
        <v>-4452000.0000000102</v>
      </c>
      <c r="P36" s="2">
        <f>+O36/J36</f>
        <v>6.3600000000000143E-2</v>
      </c>
      <c r="Q36" s="2">
        <f>+P36/12</f>
        <v>5.3000000000000122E-3</v>
      </c>
      <c r="R36" s="13">
        <f>+(1+Q36)^(12)-1</f>
        <v>6.5487086851492293E-2</v>
      </c>
      <c r="S36" s="5"/>
      <c r="T36" s="3"/>
      <c r="U36" s="3"/>
      <c r="V36" s="5"/>
    </row>
    <row r="37" spans="2:22" x14ac:dyDescent="0.25">
      <c r="B37" s="6" t="s">
        <v>30</v>
      </c>
      <c r="C37" s="7"/>
      <c r="D37" s="3">
        <f>(F36+SUM(D$12:D36))*$B$7</f>
        <v>-382842.5870653615</v>
      </c>
      <c r="E37" s="5"/>
      <c r="F37" s="5">
        <f t="shared" si="1"/>
        <v>-70000000</v>
      </c>
      <c r="G37" s="3">
        <f t="shared" si="0"/>
        <v>0</v>
      </c>
      <c r="H37" s="18"/>
      <c r="I37" s="10">
        <f t="shared" si="2"/>
        <v>382842.5870653615</v>
      </c>
      <c r="J37" s="5"/>
      <c r="O37" s="6"/>
      <c r="P37" s="7"/>
      <c r="Q37" s="3"/>
      <c r="R37" s="5"/>
      <c r="S37" s="5"/>
      <c r="T37" s="3"/>
      <c r="U37" s="3"/>
      <c r="V37" s="5"/>
    </row>
    <row r="38" spans="2:22" x14ac:dyDescent="0.25">
      <c r="B38" s="6" t="s">
        <v>31</v>
      </c>
      <c r="C38" s="7"/>
      <c r="D38" s="3">
        <f>(F37+SUM(D$12:D37))*$B$7</f>
        <v>-384706.09271646896</v>
      </c>
      <c r="E38" s="5"/>
      <c r="F38" s="5">
        <f t="shared" si="1"/>
        <v>-70000000</v>
      </c>
      <c r="G38" s="3">
        <f t="shared" si="0"/>
        <v>0</v>
      </c>
      <c r="H38" s="18"/>
      <c r="I38" s="10">
        <f t="shared" si="2"/>
        <v>384706.09271646896</v>
      </c>
      <c r="J38" s="5"/>
      <c r="O38" s="6"/>
      <c r="P38" s="7"/>
      <c r="Q38" s="3"/>
      <c r="R38" s="5"/>
      <c r="S38" s="5"/>
      <c r="T38" s="3"/>
      <c r="U38" s="3"/>
      <c r="V38" s="5"/>
    </row>
    <row r="39" spans="2:22" x14ac:dyDescent="0.25">
      <c r="B39" s="6" t="s">
        <v>32</v>
      </c>
      <c r="C39" s="7"/>
      <c r="D39" s="3">
        <f>(F38+SUM(D$12:D38))*$B$7</f>
        <v>-386578.66907556192</v>
      </c>
      <c r="E39" s="5"/>
      <c r="F39" s="5">
        <f t="shared" si="1"/>
        <v>-70000000</v>
      </c>
      <c r="G39" s="3">
        <f t="shared" si="0"/>
        <v>0</v>
      </c>
      <c r="H39" s="18"/>
      <c r="I39" s="10">
        <f t="shared" si="2"/>
        <v>386578.66907556192</v>
      </c>
      <c r="J39" s="5"/>
      <c r="O39" s="6"/>
      <c r="P39" s="7"/>
      <c r="Q39" s="3"/>
      <c r="R39" s="5"/>
      <c r="S39" s="5"/>
      <c r="T39" s="3"/>
      <c r="U39" s="3"/>
      <c r="V39" s="5"/>
    </row>
    <row r="40" spans="2:22" x14ac:dyDescent="0.25">
      <c r="B40" s="6" t="s">
        <v>33</v>
      </c>
      <c r="C40" s="7"/>
      <c r="D40" s="3">
        <f>(F39+SUM(D$12:D39))*$B$7</f>
        <v>-388460.36029477022</v>
      </c>
      <c r="E40" s="5"/>
      <c r="F40" s="5">
        <f t="shared" si="1"/>
        <v>-70000000</v>
      </c>
      <c r="G40" s="3">
        <f t="shared" si="0"/>
        <v>0</v>
      </c>
      <c r="H40" s="18"/>
      <c r="I40" s="10">
        <f t="shared" si="2"/>
        <v>388460.36029477022</v>
      </c>
      <c r="J40" s="5"/>
      <c r="O40" s="6"/>
      <c r="P40" s="7"/>
      <c r="Q40" s="3"/>
      <c r="R40" s="5"/>
      <c r="S40" s="5"/>
      <c r="T40" s="3"/>
      <c r="U40" s="3"/>
      <c r="V40" s="5"/>
    </row>
    <row r="41" spans="2:22" x14ac:dyDescent="0.25">
      <c r="B41" s="6" t="s">
        <v>34</v>
      </c>
      <c r="C41" s="7"/>
      <c r="D41" s="3">
        <f>(F40+SUM(D$12:D40))*$B$7</f>
        <v>-390351.21074113634</v>
      </c>
      <c r="E41" s="5"/>
      <c r="F41" s="5">
        <f t="shared" si="1"/>
        <v>-70000000</v>
      </c>
      <c r="G41" s="3">
        <f t="shared" si="0"/>
        <v>0</v>
      </c>
      <c r="H41" s="18"/>
      <c r="I41" s="10">
        <f t="shared" si="2"/>
        <v>390351.21074113634</v>
      </c>
      <c r="J41" s="5"/>
      <c r="O41" s="6"/>
      <c r="P41" s="7"/>
      <c r="Q41" s="3"/>
      <c r="R41" s="5"/>
      <c r="S41" s="5"/>
      <c r="T41" s="3"/>
      <c r="U41" s="3"/>
      <c r="V41" s="5"/>
    </row>
    <row r="42" spans="2:22" x14ac:dyDescent="0.25">
      <c r="B42" s="6" t="s">
        <v>35</v>
      </c>
      <c r="C42" s="7"/>
      <c r="D42" s="3">
        <f>(F41+SUM(D$12:D41))*$B$7</f>
        <v>-392251.26499766175</v>
      </c>
      <c r="E42" s="5"/>
      <c r="F42" s="5">
        <f t="shared" si="1"/>
        <v>-70000000</v>
      </c>
      <c r="G42" s="3">
        <f t="shared" si="0"/>
        <v>0</v>
      </c>
      <c r="H42" s="18"/>
      <c r="I42" s="10">
        <f t="shared" si="2"/>
        <v>392251.26499766175</v>
      </c>
      <c r="J42" s="5"/>
      <c r="O42" s="6"/>
      <c r="P42" s="7"/>
      <c r="Q42" s="3"/>
      <c r="R42" s="5"/>
      <c r="S42" s="5"/>
      <c r="T42" s="3"/>
      <c r="U42" s="3"/>
      <c r="V42" s="5"/>
    </row>
    <row r="43" spans="2:22" x14ac:dyDescent="0.25">
      <c r="B43" s="6" t="s">
        <v>36</v>
      </c>
      <c r="C43" s="7"/>
      <c r="D43" s="3">
        <f>(F42+SUM(D$12:D42))*$B$7</f>
        <v>-394160.56786435767</v>
      </c>
      <c r="E43" s="5"/>
      <c r="F43" s="5">
        <f t="shared" si="1"/>
        <v>-70000000</v>
      </c>
      <c r="G43" s="3">
        <f t="shared" si="0"/>
        <v>0</v>
      </c>
      <c r="H43" s="18"/>
      <c r="I43" s="10">
        <f t="shared" si="2"/>
        <v>394160.56786435767</v>
      </c>
      <c r="J43" s="5"/>
      <c r="O43" s="6"/>
      <c r="P43" s="7"/>
      <c r="Q43" s="3"/>
      <c r="R43" s="5"/>
      <c r="S43" s="5"/>
      <c r="T43" s="3"/>
      <c r="U43" s="3"/>
      <c r="V43" s="5"/>
    </row>
    <row r="44" spans="2:22" x14ac:dyDescent="0.25">
      <c r="B44" s="6" t="s">
        <v>37</v>
      </c>
      <c r="C44" s="7"/>
      <c r="D44" s="3">
        <f>(F43+SUM(D$12:D43))*$B$7</f>
        <v>-396079.16435930174</v>
      </c>
      <c r="E44" s="5"/>
      <c r="F44" s="5">
        <f t="shared" si="1"/>
        <v>-70000000</v>
      </c>
      <c r="G44" s="3">
        <f t="shared" si="0"/>
        <v>0</v>
      </c>
      <c r="H44" s="18"/>
      <c r="I44" s="10">
        <f t="shared" si="2"/>
        <v>396079.16435930174</v>
      </c>
      <c r="J44" s="5"/>
      <c r="O44" s="6"/>
      <c r="P44" s="7"/>
      <c r="Q44" s="3"/>
      <c r="R44" s="5"/>
      <c r="S44" s="5"/>
      <c r="T44" s="3"/>
      <c r="U44" s="3"/>
      <c r="V44" s="5"/>
    </row>
    <row r="45" spans="2:22" x14ac:dyDescent="0.25">
      <c r="B45" s="6" t="s">
        <v>38</v>
      </c>
      <c r="C45" s="7"/>
      <c r="D45" s="3">
        <f>(F44+SUM(D$12:D44))*$B$7</f>
        <v>-398007.09971969947</v>
      </c>
      <c r="E45" s="5"/>
      <c r="F45" s="5">
        <f t="shared" si="1"/>
        <v>-70000000</v>
      </c>
      <c r="G45" s="3">
        <f t="shared" si="0"/>
        <v>0</v>
      </c>
      <c r="H45" s="18"/>
      <c r="I45" s="10">
        <f t="shared" si="2"/>
        <v>398007.09971969947</v>
      </c>
      <c r="J45" s="5"/>
      <c r="O45" s="6"/>
      <c r="P45" s="7"/>
      <c r="Q45" s="3"/>
      <c r="R45" s="5"/>
      <c r="S45" s="5"/>
      <c r="T45" s="3"/>
      <c r="U45" s="3"/>
      <c r="V45" s="5"/>
    </row>
    <row r="46" spans="2:22" x14ac:dyDescent="0.25">
      <c r="B46" s="6" t="s">
        <v>39</v>
      </c>
      <c r="C46" s="7"/>
      <c r="D46" s="3">
        <f>(F45+SUM(D$12:D45))*$B$7</f>
        <v>-399944.41940295062</v>
      </c>
      <c r="E46" s="5"/>
      <c r="F46" s="5">
        <f t="shared" si="1"/>
        <v>-70000000</v>
      </c>
      <c r="G46" s="3">
        <f t="shared" si="0"/>
        <v>0</v>
      </c>
      <c r="H46" s="18"/>
      <c r="I46" s="10">
        <f t="shared" si="2"/>
        <v>399944.41940295062</v>
      </c>
      <c r="J46" s="5"/>
      <c r="O46" s="6"/>
      <c r="P46" s="7"/>
      <c r="Q46" s="3"/>
      <c r="R46" s="5"/>
      <c r="S46" s="5"/>
      <c r="T46" s="3"/>
      <c r="U46" s="3"/>
      <c r="V46" s="5"/>
    </row>
    <row r="47" spans="2:22" x14ac:dyDescent="0.25">
      <c r="B47" s="6" t="s">
        <v>40</v>
      </c>
      <c r="C47" s="7"/>
      <c r="D47" s="3">
        <f>(F46+SUM(D$12:D46))*$B$7</f>
        <v>-401891.16908772127</v>
      </c>
      <c r="E47" s="5"/>
      <c r="F47" s="5">
        <f t="shared" si="1"/>
        <v>-70000000</v>
      </c>
      <c r="G47" s="3">
        <f t="shared" si="0"/>
        <v>0</v>
      </c>
      <c r="H47" s="18"/>
      <c r="I47" s="10">
        <f t="shared" si="2"/>
        <v>401891.16908772127</v>
      </c>
      <c r="J47" s="5"/>
      <c r="O47" s="6" t="s">
        <v>99</v>
      </c>
      <c r="P47" s="7"/>
      <c r="Q47" s="3"/>
      <c r="R47" s="5"/>
      <c r="S47" s="5"/>
      <c r="T47" s="3"/>
      <c r="U47" s="3"/>
      <c r="V47" s="5"/>
    </row>
    <row r="48" spans="2:22" x14ac:dyDescent="0.25">
      <c r="B48" s="6" t="s">
        <v>41</v>
      </c>
      <c r="C48" s="7"/>
      <c r="D48" s="3">
        <f>(F47+SUM(D$12:D47))*$B$7</f>
        <v>-403847.39467502059</v>
      </c>
      <c r="E48" s="5"/>
      <c r="F48" s="5">
        <f t="shared" si="1"/>
        <v>-70000000</v>
      </c>
      <c r="G48" s="3">
        <f t="shared" si="0"/>
        <v>0</v>
      </c>
      <c r="H48" s="18"/>
      <c r="I48" s="10">
        <f t="shared" si="2"/>
        <v>403847.39467502059</v>
      </c>
      <c r="J48" s="5">
        <f>+AVERAGE(F36:F47)</f>
        <v>-70000000</v>
      </c>
      <c r="K48" s="5">
        <f>+SUM(I37:I48)</f>
        <v>4719120.0000000112</v>
      </c>
      <c r="L48" s="5">
        <f>+SUM(D37:D48)</f>
        <v>-4719120.0000000112</v>
      </c>
      <c r="M48" s="5">
        <f>+-SUM(G37:G48)</f>
        <v>0</v>
      </c>
      <c r="N48" s="5">
        <f>+SUM(E37:E48)</f>
        <v>0</v>
      </c>
      <c r="O48" s="5">
        <f>+M48+L48</f>
        <v>-4719120.0000000112</v>
      </c>
      <c r="P48" s="2">
        <f>+O48/J48</f>
        <v>6.7416000000000156E-2</v>
      </c>
      <c r="Q48" s="2">
        <f>+P48/12</f>
        <v>5.6180000000000127E-3</v>
      </c>
      <c r="R48" s="13">
        <f>+(1+Q48)^(12)-1</f>
        <v>6.9538593817876748E-2</v>
      </c>
      <c r="S48" s="5"/>
      <c r="T48" s="3"/>
      <c r="U48" s="3"/>
      <c r="V48" s="5"/>
    </row>
    <row r="49" spans="2:22" x14ac:dyDescent="0.25">
      <c r="B49" s="6" t="s">
        <v>42</v>
      </c>
      <c r="C49" s="7"/>
      <c r="D49" s="3">
        <f>(F48+SUM(D$12:D48))*$B$7</f>
        <v>-405813.14228928328</v>
      </c>
      <c r="E49" s="5"/>
      <c r="F49" s="5">
        <f t="shared" si="1"/>
        <v>-70000000</v>
      </c>
      <c r="G49" s="3">
        <f t="shared" si="0"/>
        <v>0</v>
      </c>
      <c r="H49" s="18"/>
      <c r="I49" s="10">
        <f t="shared" si="2"/>
        <v>405813.14228928328</v>
      </c>
      <c r="J49" s="5"/>
      <c r="O49" s="6"/>
      <c r="P49" s="7"/>
      <c r="Q49" s="3"/>
      <c r="R49" s="5"/>
      <c r="S49" s="5"/>
      <c r="T49" s="3"/>
      <c r="U49" s="3"/>
      <c r="V49" s="5"/>
    </row>
    <row r="50" spans="2:22" x14ac:dyDescent="0.25">
      <c r="B50" s="6" t="s">
        <v>43</v>
      </c>
      <c r="C50" s="7"/>
      <c r="D50" s="3">
        <f>(F49+SUM(D$12:D49))*$B$7</f>
        <v>-407788.45827945712</v>
      </c>
      <c r="E50" s="5"/>
      <c r="F50" s="5">
        <f t="shared" si="1"/>
        <v>-70000000</v>
      </c>
      <c r="G50" s="3">
        <f t="shared" si="0"/>
        <v>0</v>
      </c>
      <c r="H50" s="18"/>
      <c r="I50" s="10">
        <f t="shared" si="2"/>
        <v>407788.45827945712</v>
      </c>
      <c r="J50" s="5"/>
      <c r="O50" s="6"/>
      <c r="P50" s="7"/>
      <c r="Q50" s="3"/>
      <c r="R50" s="5"/>
      <c r="S50" s="5"/>
      <c r="T50" s="3"/>
      <c r="U50" s="3"/>
      <c r="V50" s="5"/>
    </row>
    <row r="51" spans="2:22" x14ac:dyDescent="0.25">
      <c r="B51" s="6" t="s">
        <v>44</v>
      </c>
      <c r="C51" s="7"/>
      <c r="D51" s="3">
        <f>(F50+SUM(D$12:D50))*$B$7</f>
        <v>-409773.38922009565</v>
      </c>
      <c r="E51" s="5"/>
      <c r="F51" s="5">
        <f t="shared" si="1"/>
        <v>-70000000</v>
      </c>
      <c r="G51" s="3">
        <f t="shared" si="0"/>
        <v>0</v>
      </c>
      <c r="H51" s="18"/>
      <c r="I51" s="10">
        <f t="shared" si="2"/>
        <v>409773.38922009565</v>
      </c>
      <c r="J51" s="5"/>
      <c r="O51" s="6"/>
      <c r="P51" s="7"/>
      <c r="Q51" s="3"/>
      <c r="R51" s="5"/>
      <c r="S51" s="5"/>
      <c r="T51" s="3"/>
      <c r="U51" s="3"/>
      <c r="V51" s="5"/>
    </row>
    <row r="52" spans="2:22" x14ac:dyDescent="0.25">
      <c r="B52" s="6" t="s">
        <v>45</v>
      </c>
      <c r="C52" s="7"/>
      <c r="D52" s="3">
        <f>(F51+SUM(D$12:D51))*$B$7</f>
        <v>-411767.98191245645</v>
      </c>
      <c r="E52" s="5"/>
      <c r="F52" s="5">
        <f t="shared" si="1"/>
        <v>-70000000</v>
      </c>
      <c r="G52" s="3">
        <f t="shared" si="0"/>
        <v>0</v>
      </c>
      <c r="H52" s="18"/>
      <c r="I52" s="10">
        <f t="shared" si="2"/>
        <v>411767.98191245645</v>
      </c>
      <c r="J52" s="5"/>
      <c r="O52" s="6"/>
      <c r="P52" s="7"/>
      <c r="Q52" s="3"/>
      <c r="R52" s="5"/>
      <c r="S52" s="5"/>
      <c r="T52" s="3"/>
      <c r="U52" s="3"/>
      <c r="V52" s="5"/>
    </row>
    <row r="53" spans="2:22" x14ac:dyDescent="0.25">
      <c r="B53" s="6" t="s">
        <v>46</v>
      </c>
      <c r="C53" s="7"/>
      <c r="D53" s="3">
        <f>(F52+SUM(D$12:D52))*$B$7</f>
        <v>-413772.28338560462</v>
      </c>
      <c r="E53" s="5"/>
      <c r="F53" s="5">
        <f t="shared" si="1"/>
        <v>-70000000</v>
      </c>
      <c r="G53" s="3">
        <f t="shared" si="0"/>
        <v>0</v>
      </c>
      <c r="H53" s="18"/>
      <c r="I53" s="10">
        <f t="shared" si="2"/>
        <v>413772.28338560462</v>
      </c>
      <c r="J53" s="5"/>
      <c r="O53" s="6"/>
      <c r="P53" s="7"/>
      <c r="Q53" s="3"/>
      <c r="R53" s="5"/>
      <c r="S53" s="5"/>
      <c r="T53" s="3"/>
      <c r="U53" s="3"/>
      <c r="V53" s="5"/>
    </row>
    <row r="54" spans="2:22" x14ac:dyDescent="0.25">
      <c r="B54" s="6" t="s">
        <v>47</v>
      </c>
      <c r="C54" s="7"/>
      <c r="D54" s="3">
        <f>(F53+SUM(D$12:D53))*$B$7</f>
        <v>-415786.34089752153</v>
      </c>
      <c r="E54" s="5"/>
      <c r="F54" s="5">
        <f t="shared" si="1"/>
        <v>-70000000</v>
      </c>
      <c r="G54" s="3">
        <f t="shared" si="0"/>
        <v>0</v>
      </c>
      <c r="H54" s="18"/>
      <c r="I54" s="10">
        <f t="shared" si="2"/>
        <v>415786.34089752153</v>
      </c>
      <c r="J54" s="5"/>
      <c r="O54" s="6"/>
      <c r="P54" s="7"/>
      <c r="Q54" s="3"/>
      <c r="R54" s="5"/>
      <c r="S54" s="5"/>
      <c r="T54" s="3"/>
      <c r="U54" s="3"/>
      <c r="V54" s="5"/>
    </row>
    <row r="55" spans="2:22" x14ac:dyDescent="0.25">
      <c r="B55" s="6" t="s">
        <v>48</v>
      </c>
      <c r="C55" s="7"/>
      <c r="D55" s="3">
        <f>(F54+SUM(D$12:D54))*$B$7</f>
        <v>-417810.20193621912</v>
      </c>
      <c r="E55" s="5"/>
      <c r="F55" s="5">
        <f t="shared" si="1"/>
        <v>-70000000</v>
      </c>
      <c r="G55" s="3">
        <f t="shared" si="0"/>
        <v>0</v>
      </c>
      <c r="H55" s="18"/>
      <c r="I55" s="10">
        <f t="shared" si="2"/>
        <v>417810.20193621912</v>
      </c>
      <c r="J55" s="5"/>
      <c r="O55" s="6"/>
      <c r="P55" s="7"/>
      <c r="Q55" s="3"/>
      <c r="R55" s="5"/>
      <c r="S55" s="5"/>
      <c r="T55" s="3"/>
      <c r="U55" s="3"/>
      <c r="V55" s="5"/>
    </row>
    <row r="56" spans="2:22" x14ac:dyDescent="0.25">
      <c r="B56" s="6" t="s">
        <v>49</v>
      </c>
      <c r="C56" s="7"/>
      <c r="D56" s="3">
        <f>(F55+SUM(D$12:D55))*$B$7</f>
        <v>-419843.91422085994</v>
      </c>
      <c r="E56" s="5"/>
      <c r="F56" s="5">
        <f t="shared" si="1"/>
        <v>-70000000</v>
      </c>
      <c r="G56" s="3">
        <f t="shared" si="0"/>
        <v>0</v>
      </c>
      <c r="H56" s="18"/>
      <c r="I56" s="10">
        <f t="shared" si="2"/>
        <v>419843.91422085994</v>
      </c>
      <c r="J56" s="5"/>
      <c r="O56" s="6"/>
      <c r="P56" s="7"/>
      <c r="Q56" s="3"/>
      <c r="R56" s="5"/>
      <c r="S56" s="5"/>
      <c r="T56" s="3"/>
      <c r="U56" s="3"/>
      <c r="V56" s="5"/>
    </row>
    <row r="57" spans="2:22" x14ac:dyDescent="0.25">
      <c r="B57" s="6" t="s">
        <v>50</v>
      </c>
      <c r="C57" s="7"/>
      <c r="D57" s="3">
        <f>(F56+SUM(D$12:D56))*$B$7</f>
        <v>-421887.52570288145</v>
      </c>
      <c r="E57" s="5"/>
      <c r="F57" s="5">
        <f t="shared" si="1"/>
        <v>-70000000</v>
      </c>
      <c r="G57" s="3">
        <f t="shared" si="0"/>
        <v>0</v>
      </c>
      <c r="H57" s="18"/>
      <c r="I57" s="10">
        <f t="shared" si="2"/>
        <v>421887.52570288145</v>
      </c>
      <c r="J57" s="5"/>
      <c r="O57" s="6"/>
      <c r="P57" s="7"/>
      <c r="Q57" s="3"/>
      <c r="R57" s="5"/>
      <c r="S57" s="5"/>
      <c r="T57" s="3"/>
      <c r="U57" s="3"/>
      <c r="V57" s="5"/>
    </row>
    <row r="58" spans="2:22" x14ac:dyDescent="0.25">
      <c r="B58" s="6" t="s">
        <v>51</v>
      </c>
      <c r="C58" s="7"/>
      <c r="D58" s="3">
        <f>(F57+SUM(D$12:D57))*$B$7</f>
        <v>-423941.08456712769</v>
      </c>
      <c r="E58" s="5"/>
      <c r="F58" s="5">
        <f t="shared" si="1"/>
        <v>-70000000</v>
      </c>
      <c r="G58" s="3">
        <f t="shared" si="0"/>
        <v>0</v>
      </c>
      <c r="H58" s="18"/>
      <c r="I58" s="10">
        <f t="shared" si="2"/>
        <v>423941.08456712769</v>
      </c>
      <c r="J58" s="5"/>
      <c r="O58" s="6"/>
      <c r="P58" s="7"/>
      <c r="Q58" s="3"/>
      <c r="R58" s="5"/>
      <c r="S58" s="5"/>
      <c r="T58" s="3"/>
      <c r="U58" s="3"/>
      <c r="V58" s="5"/>
    </row>
    <row r="59" spans="2:22" x14ac:dyDescent="0.25">
      <c r="B59" s="6" t="s">
        <v>52</v>
      </c>
      <c r="C59" s="7"/>
      <c r="D59" s="3">
        <f>(F58+SUM(D$12:D58))*$B$7</f>
        <v>-426004.63923298457</v>
      </c>
      <c r="E59" s="5"/>
      <c r="F59" s="5">
        <f t="shared" si="1"/>
        <v>-70000000</v>
      </c>
      <c r="G59" s="3">
        <f t="shared" si="0"/>
        <v>0</v>
      </c>
      <c r="H59" s="18"/>
      <c r="I59" s="10">
        <f t="shared" si="2"/>
        <v>426004.63923298457</v>
      </c>
      <c r="J59" s="5"/>
      <c r="O59" s="6" t="s">
        <v>99</v>
      </c>
      <c r="P59" s="7"/>
      <c r="Q59" s="3"/>
      <c r="R59" s="5"/>
      <c r="S59" s="5"/>
      <c r="T59" s="3"/>
      <c r="U59" s="3"/>
      <c r="V59" s="5"/>
    </row>
    <row r="60" spans="2:22" x14ac:dyDescent="0.25">
      <c r="B60" s="6" t="s">
        <v>53</v>
      </c>
      <c r="C60" s="7"/>
      <c r="D60" s="3">
        <f>(F59+SUM(D$12:D59))*$B$7</f>
        <v>-428078.23835552187</v>
      </c>
      <c r="E60" s="5"/>
      <c r="F60" s="5">
        <f t="shared" si="1"/>
        <v>-70000000</v>
      </c>
      <c r="G60" s="3">
        <f t="shared" si="0"/>
        <v>0</v>
      </c>
      <c r="H60" s="18"/>
      <c r="I60" s="10">
        <f>+-D60-B4</f>
        <v>70428078.238355517</v>
      </c>
      <c r="J60" s="5">
        <f>+AVERAGE(F48:F59)</f>
        <v>-70000000</v>
      </c>
      <c r="K60" s="5">
        <f>+SUM(I49:I60)</f>
        <v>75002267.200000003</v>
      </c>
      <c r="L60" s="5">
        <f>+SUM(D49:D60)</f>
        <v>-5002267.2000000132</v>
      </c>
      <c r="M60" s="5">
        <f>+-SUM(G49:G60)</f>
        <v>0</v>
      </c>
      <c r="N60" s="5">
        <f>+SUM(E49:E60)</f>
        <v>0</v>
      </c>
      <c r="O60" s="5">
        <f>+M60+L60</f>
        <v>-5002267.2000000132</v>
      </c>
      <c r="P60" s="2">
        <f>+O60/J60</f>
        <v>7.1460960000000184E-2</v>
      </c>
      <c r="Q60" s="2">
        <f>+P60/12</f>
        <v>5.9550800000000154E-3</v>
      </c>
      <c r="R60" s="13">
        <f>+(1+Q60)^(12)-1</f>
        <v>7.38486057027814E-2</v>
      </c>
      <c r="S60" s="5"/>
      <c r="T60" s="3"/>
      <c r="U60" s="3"/>
      <c r="V60" s="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showGridLines="0" showRowColHeaders="0" tabSelected="1" zoomScaleNormal="100" workbookViewId="0">
      <selection activeCell="D12" sqref="D12"/>
    </sheetView>
  </sheetViews>
  <sheetFormatPr baseColWidth="10" defaultColWidth="11.42578125" defaultRowHeight="15" x14ac:dyDescent="0.25"/>
  <cols>
    <col min="1" max="1" width="4.85546875" customWidth="1"/>
    <col min="2" max="2" width="1.5703125" customWidth="1"/>
    <col min="3" max="3" width="34" customWidth="1"/>
    <col min="4" max="4" width="31.140625" customWidth="1"/>
    <col min="5" max="5" width="3.5703125" customWidth="1"/>
    <col min="6" max="6" width="31.42578125" customWidth="1"/>
    <col min="7" max="7" width="14.85546875" customWidth="1"/>
    <col min="8" max="8" width="3.7109375" customWidth="1"/>
    <col min="9" max="9" width="31.42578125" customWidth="1"/>
    <col min="10" max="10" width="17.42578125" bestFit="1" customWidth="1"/>
    <col min="11" max="11" width="1" customWidth="1"/>
    <col min="12" max="19" width="11.42578125" customWidth="1"/>
    <col min="20" max="20" width="10.85546875" style="36" customWidth="1"/>
  </cols>
  <sheetData>
    <row r="1" spans="1:21" ht="15.75" thickBot="1" x14ac:dyDescent="0.3">
      <c r="A1" s="143"/>
      <c r="B1" s="143"/>
      <c r="C1" s="143"/>
      <c r="D1" s="143"/>
      <c r="E1" s="143"/>
      <c r="F1" s="143"/>
      <c r="G1" s="143"/>
      <c r="H1" s="143"/>
      <c r="I1" s="143"/>
      <c r="J1" s="143"/>
    </row>
    <row r="2" spans="1:21" ht="6" customHeight="1" thickTop="1" x14ac:dyDescent="0.25">
      <c r="A2" s="143"/>
      <c r="B2" s="144"/>
      <c r="C2" s="145"/>
      <c r="D2" s="145"/>
      <c r="E2" s="145"/>
      <c r="F2" s="145"/>
      <c r="G2" s="145"/>
      <c r="H2" s="145"/>
      <c r="I2" s="145"/>
      <c r="J2" s="145"/>
      <c r="K2" s="32"/>
    </row>
    <row r="3" spans="1:21" x14ac:dyDescent="0.25">
      <c r="A3" s="143"/>
      <c r="B3" s="146"/>
      <c r="C3" s="138"/>
      <c r="D3" s="138"/>
      <c r="E3" s="138"/>
      <c r="F3" s="138"/>
      <c r="G3" s="138"/>
      <c r="H3" s="138"/>
      <c r="I3" s="138"/>
      <c r="J3" s="138"/>
      <c r="K3" s="33"/>
      <c r="S3" t="s">
        <v>291</v>
      </c>
      <c r="T3" s="36" t="s">
        <v>299</v>
      </c>
      <c r="U3" t="s">
        <v>308</v>
      </c>
    </row>
    <row r="4" spans="1:21" x14ac:dyDescent="0.25">
      <c r="A4" s="143"/>
      <c r="B4" s="146"/>
      <c r="C4" s="138"/>
      <c r="D4" s="138"/>
      <c r="E4" s="138"/>
      <c r="F4" s="138"/>
      <c r="G4" s="138"/>
      <c r="H4" s="138"/>
      <c r="I4" s="138"/>
      <c r="J4" s="138"/>
      <c r="K4" s="33"/>
      <c r="S4">
        <v>5</v>
      </c>
      <c r="T4" s="36">
        <v>0.01</v>
      </c>
      <c r="U4" t="s">
        <v>309</v>
      </c>
    </row>
    <row r="5" spans="1:21" x14ac:dyDescent="0.25">
      <c r="A5" s="143"/>
      <c r="B5" s="146"/>
      <c r="C5" s="138"/>
      <c r="D5" s="138"/>
      <c r="E5" s="138"/>
      <c r="F5" s="138"/>
      <c r="G5" s="138"/>
      <c r="H5" s="138"/>
      <c r="I5" s="138"/>
      <c r="J5" s="138"/>
      <c r="K5" s="33"/>
      <c r="S5">
        <f>S4+1</f>
        <v>6</v>
      </c>
      <c r="T5" s="36">
        <f>+T4+0.01</f>
        <v>0.02</v>
      </c>
      <c r="U5" t="s">
        <v>311</v>
      </c>
    </row>
    <row r="6" spans="1:21" ht="21" x14ac:dyDescent="0.35">
      <c r="A6" s="143"/>
      <c r="B6" s="146"/>
      <c r="C6" s="188" t="s">
        <v>300</v>
      </c>
      <c r="D6" s="188"/>
      <c r="E6" s="188"/>
      <c r="F6" s="188"/>
      <c r="G6" s="188"/>
      <c r="H6" s="188"/>
      <c r="I6" s="188"/>
      <c r="J6" s="188"/>
      <c r="K6" s="33"/>
      <c r="S6">
        <f t="shared" ref="S6:S19" si="0">S5+1</f>
        <v>7</v>
      </c>
      <c r="T6" s="36">
        <f t="shared" ref="T6:T29" si="1">+T5+0.01</f>
        <v>0.03</v>
      </c>
      <c r="U6" t="s">
        <v>310</v>
      </c>
    </row>
    <row r="7" spans="1:21" x14ac:dyDescent="0.25">
      <c r="A7" s="143"/>
      <c r="B7" s="146"/>
      <c r="C7" s="138"/>
      <c r="D7" s="138"/>
      <c r="E7" s="138"/>
      <c r="F7" s="138"/>
      <c r="G7" s="138"/>
      <c r="H7" s="138"/>
      <c r="I7" s="138"/>
      <c r="J7" s="138"/>
      <c r="K7" s="33"/>
      <c r="S7">
        <f t="shared" si="0"/>
        <v>8</v>
      </c>
      <c r="T7" s="36">
        <f t="shared" si="1"/>
        <v>0.04</v>
      </c>
    </row>
    <row r="8" spans="1:21" ht="15.75" thickBot="1" x14ac:dyDescent="0.3">
      <c r="A8" s="143"/>
      <c r="B8" s="146"/>
      <c r="C8" s="138"/>
      <c r="D8" s="138"/>
      <c r="E8" s="138"/>
      <c r="F8" s="138"/>
      <c r="G8" s="138"/>
      <c r="H8" s="138"/>
      <c r="I8" s="138"/>
      <c r="J8" s="138"/>
      <c r="K8" s="33"/>
      <c r="S8">
        <f t="shared" si="0"/>
        <v>9</v>
      </c>
      <c r="T8" s="36">
        <f t="shared" si="1"/>
        <v>0.05</v>
      </c>
    </row>
    <row r="9" spans="1:21" x14ac:dyDescent="0.25">
      <c r="A9" s="143"/>
      <c r="B9" s="146"/>
      <c r="C9" s="189" t="s">
        <v>288</v>
      </c>
      <c r="D9" s="190"/>
      <c r="E9" s="138"/>
      <c r="F9" s="191" t="s">
        <v>287</v>
      </c>
      <c r="G9" s="192"/>
      <c r="H9" s="138"/>
      <c r="I9" s="193" t="s">
        <v>286</v>
      </c>
      <c r="J9" s="194"/>
      <c r="K9" s="33"/>
      <c r="S9">
        <f t="shared" si="0"/>
        <v>10</v>
      </c>
      <c r="T9" s="36">
        <f t="shared" si="1"/>
        <v>6.0000000000000005E-2</v>
      </c>
    </row>
    <row r="10" spans="1:21" ht="15.95" customHeight="1" x14ac:dyDescent="0.25">
      <c r="A10" s="143"/>
      <c r="B10" s="146"/>
      <c r="C10" s="130" t="s">
        <v>307</v>
      </c>
      <c r="D10" s="131" t="s">
        <v>309</v>
      </c>
      <c r="E10" s="138"/>
      <c r="F10" s="130" t="s">
        <v>90</v>
      </c>
      <c r="G10" s="147">
        <f>+Simulador!J5</f>
        <v>200000000</v>
      </c>
      <c r="H10" s="138"/>
      <c r="I10" s="148" t="s">
        <v>297</v>
      </c>
      <c r="J10" s="147">
        <f>+Simulador!J20+Simulador!K20</f>
        <v>2260607.1882033879</v>
      </c>
      <c r="K10" s="33"/>
      <c r="S10">
        <f t="shared" si="0"/>
        <v>11</v>
      </c>
      <c r="T10" s="36">
        <f t="shared" si="1"/>
        <v>7.0000000000000007E-2</v>
      </c>
    </row>
    <row r="11" spans="1:21" ht="15.95" customHeight="1" x14ac:dyDescent="0.25">
      <c r="A11" s="143"/>
      <c r="B11" s="146"/>
      <c r="C11" s="133" t="s">
        <v>296</v>
      </c>
      <c r="D11" s="132">
        <v>1000000000</v>
      </c>
      <c r="E11" s="138"/>
      <c r="F11" s="133" t="s">
        <v>290</v>
      </c>
      <c r="G11" s="149">
        <f>+D14*12</f>
        <v>180</v>
      </c>
      <c r="H11" s="138"/>
      <c r="I11" s="133" t="s">
        <v>304</v>
      </c>
      <c r="J11" s="149">
        <f ca="1">+Simulador!Q20*-1</f>
        <v>2502407.1882033879</v>
      </c>
      <c r="K11" s="33"/>
      <c r="S11">
        <f t="shared" si="0"/>
        <v>12</v>
      </c>
      <c r="T11" s="36">
        <f t="shared" si="1"/>
        <v>0.08</v>
      </c>
    </row>
    <row r="12" spans="1:21" ht="15.95" customHeight="1" x14ac:dyDescent="0.25">
      <c r="A12" s="143"/>
      <c r="B12" s="146"/>
      <c r="C12" s="130" t="s">
        <v>312</v>
      </c>
      <c r="D12" s="150">
        <f>+IF(D10="Leasing Habitacional Familiar",D11*80%,IF(D10="Leasing Habitacional No Familiar",D11*70%,IF(D10="Leasing Inmobiliario",D11*70%)))</f>
        <v>800000000</v>
      </c>
      <c r="E12" s="138"/>
      <c r="F12" s="130" t="s">
        <v>278</v>
      </c>
      <c r="G12" s="151">
        <f>+Simulador!J8</f>
        <v>0.115</v>
      </c>
      <c r="H12" s="138"/>
      <c r="I12" s="130" t="s">
        <v>105</v>
      </c>
      <c r="J12" s="150">
        <f>+Simulador!W6</f>
        <v>200000000.00000003</v>
      </c>
      <c r="K12" s="33"/>
      <c r="S12">
        <f t="shared" si="0"/>
        <v>13</v>
      </c>
      <c r="T12" s="36">
        <f t="shared" si="1"/>
        <v>0.09</v>
      </c>
    </row>
    <row r="13" spans="1:21" ht="15.95" customHeight="1" x14ac:dyDescent="0.25">
      <c r="A13" s="143"/>
      <c r="B13" s="146"/>
      <c r="C13" s="133" t="s">
        <v>295</v>
      </c>
      <c r="D13" s="132">
        <v>200000000</v>
      </c>
      <c r="E13" s="138"/>
      <c r="F13" s="133" t="s">
        <v>277</v>
      </c>
      <c r="G13" s="152">
        <f>+Simulador!J9</f>
        <v>9.1124684369046083E-3</v>
      </c>
      <c r="H13" s="138"/>
      <c r="I13" s="133" t="s">
        <v>303</v>
      </c>
      <c r="J13" s="153">
        <f>+Simulador!W7</f>
        <v>208909293.87660992</v>
      </c>
      <c r="K13" s="33"/>
      <c r="L13" s="181"/>
      <c r="S13">
        <f t="shared" si="0"/>
        <v>14</v>
      </c>
      <c r="T13" s="36">
        <f t="shared" si="1"/>
        <v>9.9999999999999992E-2</v>
      </c>
    </row>
    <row r="14" spans="1:21" ht="15.95" customHeight="1" x14ac:dyDescent="0.25">
      <c r="A14" s="143"/>
      <c r="B14" s="146"/>
      <c r="C14" s="130" t="s">
        <v>313</v>
      </c>
      <c r="D14" s="131">
        <v>15</v>
      </c>
      <c r="E14" s="138"/>
      <c r="F14" s="130" t="s">
        <v>279</v>
      </c>
      <c r="G14" s="154">
        <f ca="1">+TODAY()</f>
        <v>43964</v>
      </c>
      <c r="H14" s="138"/>
      <c r="I14" s="130" t="s">
        <v>213</v>
      </c>
      <c r="J14" s="150">
        <f ca="1">+Simulador!N15</f>
        <v>6726468.6250642659</v>
      </c>
      <c r="K14" s="33"/>
      <c r="L14" s="181"/>
      <c r="S14">
        <f t="shared" si="0"/>
        <v>15</v>
      </c>
      <c r="T14" s="36">
        <f t="shared" si="1"/>
        <v>0.10999999999999999</v>
      </c>
    </row>
    <row r="15" spans="1:21" ht="15.95" customHeight="1" x14ac:dyDescent="0.25">
      <c r="A15" s="143"/>
      <c r="B15" s="146"/>
      <c r="C15" s="133" t="s">
        <v>318</v>
      </c>
      <c r="D15" s="136">
        <v>0.01</v>
      </c>
      <c r="E15" s="138"/>
      <c r="F15" s="133" t="s">
        <v>294</v>
      </c>
      <c r="G15" s="155" t="s">
        <v>293</v>
      </c>
      <c r="H15" s="138"/>
      <c r="I15" s="133" t="s">
        <v>306</v>
      </c>
      <c r="J15" s="153">
        <f>+Simulador!O15</f>
        <v>35640000</v>
      </c>
      <c r="K15" s="33"/>
      <c r="S15">
        <f t="shared" si="0"/>
        <v>16</v>
      </c>
      <c r="T15" s="36">
        <f t="shared" si="1"/>
        <v>0.11999999999999998</v>
      </c>
    </row>
    <row r="16" spans="1:21" ht="15.95" customHeight="1" x14ac:dyDescent="0.25">
      <c r="A16" s="143"/>
      <c r="B16" s="146"/>
      <c r="C16" s="130" t="s">
        <v>319</v>
      </c>
      <c r="D16" s="137">
        <v>0.115</v>
      </c>
      <c r="E16" s="138"/>
      <c r="F16" s="130" t="s">
        <v>292</v>
      </c>
      <c r="G16" s="156" t="s">
        <v>293</v>
      </c>
      <c r="H16" s="138"/>
      <c r="I16" s="130" t="s">
        <v>282</v>
      </c>
      <c r="J16" s="150">
        <f ca="1">+Simulador!W9</f>
        <v>451275762.50167418</v>
      </c>
      <c r="K16" s="33"/>
      <c r="S16">
        <f t="shared" si="0"/>
        <v>17</v>
      </c>
      <c r="T16" s="36">
        <f t="shared" si="1"/>
        <v>0.12999999999999998</v>
      </c>
    </row>
    <row r="17" spans="1:20" ht="15.95" customHeight="1" thickBot="1" x14ac:dyDescent="0.3">
      <c r="A17" s="143"/>
      <c r="B17" s="146"/>
      <c r="C17" s="139" t="s">
        <v>289</v>
      </c>
      <c r="D17" s="140">
        <v>31048</v>
      </c>
      <c r="E17" s="138"/>
      <c r="F17" s="134" t="s">
        <v>207</v>
      </c>
      <c r="G17" s="157">
        <f ca="1">(TODAY()-D17)/365</f>
        <v>35.386301369863013</v>
      </c>
      <c r="H17" s="138"/>
      <c r="I17" s="134" t="s">
        <v>305</v>
      </c>
      <c r="J17" s="158">
        <f ca="1">+Simulador!W10</f>
        <v>0.13575654490899391</v>
      </c>
      <c r="K17" s="33"/>
      <c r="S17">
        <f t="shared" si="0"/>
        <v>18</v>
      </c>
      <c r="T17" s="36">
        <f t="shared" si="1"/>
        <v>0.13999999999999999</v>
      </c>
    </row>
    <row r="18" spans="1:20" s="141" customFormat="1" ht="3" customHeight="1" x14ac:dyDescent="0.25">
      <c r="A18" s="159"/>
      <c r="B18" s="160"/>
      <c r="C18" s="135"/>
      <c r="D18" s="161"/>
      <c r="E18" s="135"/>
      <c r="F18" s="135"/>
      <c r="G18" s="162"/>
      <c r="H18" s="135"/>
      <c r="I18" s="135"/>
      <c r="J18" s="163"/>
      <c r="K18" s="142"/>
      <c r="S18">
        <f t="shared" si="0"/>
        <v>19</v>
      </c>
      <c r="T18" s="36">
        <f t="shared" si="1"/>
        <v>0.15</v>
      </c>
    </row>
    <row r="19" spans="1:20" ht="10.5" customHeight="1" x14ac:dyDescent="0.25">
      <c r="A19" s="143"/>
      <c r="B19" s="146"/>
      <c r="C19" s="182" t="s">
        <v>315</v>
      </c>
      <c r="D19" s="183"/>
      <c r="E19" s="183"/>
      <c r="F19" s="183"/>
      <c r="G19" s="164"/>
      <c r="H19" s="164"/>
      <c r="I19" s="164"/>
      <c r="J19" s="164"/>
      <c r="K19" s="33"/>
      <c r="S19">
        <f t="shared" si="0"/>
        <v>20</v>
      </c>
      <c r="T19" s="36">
        <f t="shared" si="1"/>
        <v>0.16</v>
      </c>
    </row>
    <row r="20" spans="1:20" ht="10.5" customHeight="1" x14ac:dyDescent="0.25">
      <c r="A20" s="143"/>
      <c r="B20" s="146"/>
      <c r="C20" s="182" t="s">
        <v>316</v>
      </c>
      <c r="D20" s="183"/>
      <c r="E20" s="183"/>
      <c r="F20" s="183"/>
      <c r="G20" s="164"/>
      <c r="H20" s="164"/>
      <c r="I20" s="164"/>
      <c r="J20" s="164"/>
      <c r="K20" s="33"/>
      <c r="T20" s="36">
        <f t="shared" si="1"/>
        <v>0.17</v>
      </c>
    </row>
    <row r="21" spans="1:20" ht="10.5" customHeight="1" x14ac:dyDescent="0.25">
      <c r="A21" s="143"/>
      <c r="B21" s="146"/>
      <c r="C21" s="184" t="s">
        <v>320</v>
      </c>
      <c r="D21" s="167"/>
      <c r="E21" s="167"/>
      <c r="F21" s="185"/>
      <c r="G21" s="166"/>
      <c r="H21" s="165"/>
      <c r="I21" s="166"/>
      <c r="J21" s="166"/>
      <c r="K21" s="33"/>
      <c r="T21" s="36">
        <f t="shared" si="1"/>
        <v>0.18000000000000002</v>
      </c>
    </row>
    <row r="22" spans="1:20" ht="10.5" customHeight="1" x14ac:dyDescent="0.25">
      <c r="A22" s="143"/>
      <c r="B22" s="146"/>
      <c r="C22" s="184" t="s">
        <v>317</v>
      </c>
      <c r="D22" s="167"/>
      <c r="E22" s="167"/>
      <c r="F22" s="185"/>
      <c r="G22" s="166"/>
      <c r="H22" s="165"/>
      <c r="I22" s="166"/>
      <c r="J22" s="166"/>
      <c r="K22" s="33"/>
    </row>
    <row r="23" spans="1:20" ht="10.5" customHeight="1" x14ac:dyDescent="0.25">
      <c r="A23" s="143"/>
      <c r="B23" s="146"/>
      <c r="C23" s="186" t="s">
        <v>314</v>
      </c>
      <c r="D23" s="185"/>
      <c r="E23" s="167"/>
      <c r="F23" s="167"/>
      <c r="G23" s="167"/>
      <c r="H23" s="165"/>
      <c r="I23" s="165"/>
      <c r="J23" s="165"/>
      <c r="K23" s="33"/>
      <c r="T23" s="36">
        <f>+T21+0.01</f>
        <v>0.19000000000000003</v>
      </c>
    </row>
    <row r="24" spans="1:20" ht="5.0999999999999996" customHeight="1" thickBot="1" x14ac:dyDescent="0.3">
      <c r="A24" s="143"/>
      <c r="B24" s="168"/>
      <c r="C24" s="169"/>
      <c r="D24" s="169"/>
      <c r="E24" s="169"/>
      <c r="F24" s="169"/>
      <c r="G24" s="169"/>
      <c r="H24" s="169"/>
      <c r="I24" s="169"/>
      <c r="J24" s="169"/>
      <c r="K24" s="128"/>
      <c r="T24" s="36">
        <f t="shared" si="1"/>
        <v>0.20000000000000004</v>
      </c>
    </row>
    <row r="25" spans="1:20" s="34" customFormat="1" ht="15.75" thickTop="1" x14ac:dyDescent="0.25">
      <c r="A25" s="170"/>
      <c r="B25" s="170"/>
      <c r="C25" s="171"/>
      <c r="D25" s="172"/>
      <c r="E25" s="172"/>
      <c r="F25" s="172"/>
      <c r="G25" s="170"/>
      <c r="H25" s="170"/>
      <c r="I25" s="170"/>
      <c r="J25" s="170"/>
      <c r="S25"/>
      <c r="T25" s="36">
        <f t="shared" si="1"/>
        <v>0.21000000000000005</v>
      </c>
    </row>
    <row r="26" spans="1:20" s="34" customFormat="1" ht="225" customHeight="1" x14ac:dyDescent="0.25">
      <c r="A26" s="170"/>
      <c r="B26" s="170"/>
      <c r="C26" s="195" t="s">
        <v>321</v>
      </c>
      <c r="D26" s="196"/>
      <c r="E26" s="196"/>
      <c r="F26" s="196"/>
      <c r="G26" s="196"/>
      <c r="H26" s="196"/>
      <c r="I26" s="196"/>
      <c r="J26" s="196"/>
      <c r="S26"/>
      <c r="T26" s="36">
        <f t="shared" si="1"/>
        <v>0.22000000000000006</v>
      </c>
    </row>
    <row r="27" spans="1:20" s="35" customFormat="1" x14ac:dyDescent="0.25">
      <c r="A27" s="173"/>
      <c r="B27" s="173"/>
      <c r="C27" s="174"/>
      <c r="D27" s="173"/>
      <c r="E27" s="173"/>
      <c r="F27" s="173"/>
      <c r="G27" s="173"/>
      <c r="H27" s="173"/>
      <c r="I27" s="173"/>
      <c r="J27" s="173"/>
      <c r="T27" s="36">
        <f t="shared" si="1"/>
        <v>0.23000000000000007</v>
      </c>
    </row>
    <row r="28" spans="1:20" s="35" customFormat="1" ht="16.5" customHeight="1" x14ac:dyDescent="0.25">
      <c r="A28" s="173"/>
      <c r="B28" s="173"/>
      <c r="C28" s="175"/>
      <c r="D28" s="175"/>
      <c r="E28" s="175"/>
      <c r="F28" s="175"/>
      <c r="G28" s="175"/>
      <c r="H28" s="175"/>
      <c r="I28" s="175"/>
      <c r="J28" s="175"/>
      <c r="T28" s="36">
        <f t="shared" si="1"/>
        <v>0.24000000000000007</v>
      </c>
    </row>
    <row r="29" spans="1:20" s="35" customFormat="1" x14ac:dyDescent="0.25">
      <c r="A29" s="173"/>
      <c r="B29" s="173"/>
      <c r="C29" s="174"/>
      <c r="D29" s="173"/>
      <c r="E29" s="173"/>
      <c r="F29" s="173"/>
      <c r="G29" s="173"/>
      <c r="H29" s="173"/>
      <c r="I29" s="173"/>
      <c r="J29" s="173"/>
      <c r="T29" s="36">
        <f t="shared" si="1"/>
        <v>0.25000000000000006</v>
      </c>
    </row>
    <row r="30" spans="1:20" s="35" customFormat="1" x14ac:dyDescent="0.25">
      <c r="A30" s="173"/>
      <c r="B30" s="173"/>
      <c r="C30" s="175"/>
      <c r="D30" s="175"/>
      <c r="E30" s="175"/>
      <c r="F30" s="175"/>
      <c r="G30" s="175"/>
      <c r="H30" s="175"/>
      <c r="I30" s="175"/>
      <c r="J30" s="175"/>
      <c r="T30" s="36"/>
    </row>
    <row r="31" spans="1:20" s="35" customFormat="1" x14ac:dyDescent="0.25">
      <c r="A31" s="173"/>
      <c r="B31" s="173"/>
      <c r="C31" s="174"/>
      <c r="D31" s="173"/>
      <c r="E31" s="173"/>
      <c r="F31" s="173"/>
      <c r="G31" s="173"/>
      <c r="H31" s="173"/>
      <c r="I31" s="173"/>
      <c r="J31" s="173"/>
      <c r="T31" s="36"/>
    </row>
    <row r="32" spans="1:20" s="35" customFormat="1" ht="12.75" x14ac:dyDescent="0.2">
      <c r="C32" s="129"/>
      <c r="D32" s="129"/>
      <c r="E32" s="129"/>
      <c r="F32" s="129"/>
      <c r="G32" s="129"/>
      <c r="H32" s="129"/>
      <c r="I32" s="129"/>
      <c r="J32" s="129"/>
      <c r="T32" s="37"/>
    </row>
    <row r="33" spans="20:20" s="35" customFormat="1" x14ac:dyDescent="0.25">
      <c r="T33" s="36"/>
    </row>
  </sheetData>
  <sheetProtection algorithmName="SHA-512" hashValue="8/9j1bojZdP6ZziuZW9Yrky2bm1LcK3xzFcVAQhOQwy+D46oyK6KqCwnBK1c1ULPOLA4vbQ+uDiOsZCJAhZMfw==" saltValue="UTDx0THUbJrple+B6J09JA==" spinCount="100000" sheet="1" objects="1" scenarios="1"/>
  <protectedRanges>
    <protectedRange sqref="D15" name="Rango6"/>
    <protectedRange sqref="D14" name="Rango5"/>
    <protectedRange sqref="D13" name="Rango3"/>
    <protectedRange sqref="D17:D18" name="Rango1"/>
    <protectedRange sqref="D11" name="Rango2"/>
    <protectedRange sqref="D16" name="Rango4"/>
  </protectedRanges>
  <mergeCells count="5">
    <mergeCell ref="C6:J6"/>
    <mergeCell ref="C9:D9"/>
    <mergeCell ref="F9:G9"/>
    <mergeCell ref="I9:J9"/>
    <mergeCell ref="C26:J26"/>
  </mergeCells>
  <dataValidations count="3">
    <dataValidation type="list" allowBlank="1" showInputMessage="1" showErrorMessage="1" sqref="D10">
      <formula1>$U$4:$U$6</formula1>
    </dataValidation>
    <dataValidation type="list" allowBlank="1" showInputMessage="1" showErrorMessage="1" sqref="D14">
      <formula1>IF(D10="Leasing Habitacional Familiar",$S$4:$S$19,IF(D10="Leasing Habitacional No Familiar",$S$4:$S$20,$S$4:$S$9))</formula1>
    </dataValidation>
    <dataValidation type="list" allowBlank="1" showInputMessage="1" showErrorMessage="1" sqref="D15">
      <formula1>$T$4:$T$29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350BE854-E3D0-4245-B036-ECF05CB2D216}">
            <x14:iconSet iconSet="3Symbols" custom="1">
              <x14:cfvo type="percent">
                <xm:f>0</xm:f>
              </x14:cfvo>
              <x14:cfvo type="num">
                <xm:f>$D$12</xm:f>
              </x14:cfvo>
              <x14:cfvo type="num">
                <xm:f>$D$12</xm:f>
              </x14:cfvo>
              <x14:cfIcon iconSet="3Symbols" iconId="2"/>
              <x14:cfIcon iconSet="3Symbols" iconId="1"/>
              <x14:cfIcon iconSet="3Symbols" iconId="0"/>
            </x14:iconSet>
          </x14:cfRule>
          <xm:sqref>D13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263"/>
  <sheetViews>
    <sheetView topLeftCell="H185" workbookViewId="0">
      <selection activeCell="AJ25" sqref="AJ25"/>
    </sheetView>
  </sheetViews>
  <sheetFormatPr baseColWidth="10" defaultColWidth="10.85546875" defaultRowHeight="12" x14ac:dyDescent="0.2"/>
  <cols>
    <col min="1" max="1" width="10.5703125" style="41" hidden="1" customWidth="1"/>
    <col min="2" max="2" width="2.85546875" style="41" hidden="1" customWidth="1"/>
    <col min="3" max="3" width="10.5703125" style="41" hidden="1" customWidth="1"/>
    <col min="4" max="4" width="2.85546875" style="41" hidden="1" customWidth="1"/>
    <col min="5" max="5" width="10.5703125" style="41" hidden="1" customWidth="1"/>
    <col min="6" max="6" width="8" style="41" hidden="1" customWidth="1"/>
    <col min="7" max="7" width="9.42578125" style="41" hidden="1" customWidth="1"/>
    <col min="8" max="8" width="5.140625" style="41" bestFit="1" customWidth="1"/>
    <col min="9" max="9" width="19.7109375" style="39" customWidth="1"/>
    <col min="10" max="10" width="14" style="39" customWidth="1"/>
    <col min="11" max="11" width="10.85546875" style="39" customWidth="1"/>
    <col min="12" max="12" width="13" style="39" customWidth="1"/>
    <col min="13" max="13" width="4.7109375" style="39" hidden="1" customWidth="1"/>
    <col min="14" max="14" width="9" style="39" customWidth="1"/>
    <col min="15" max="15" width="12.140625" style="39" customWidth="1"/>
    <col min="16" max="16" width="5.140625" style="40" hidden="1" customWidth="1"/>
    <col min="17" max="17" width="12.28515625" style="39" customWidth="1"/>
    <col min="18" max="18" width="12.140625" style="41" hidden="1" customWidth="1"/>
    <col min="19" max="19" width="11.85546875" style="41" hidden="1" customWidth="1"/>
    <col min="20" max="20" width="11.140625" style="41" hidden="1" customWidth="1"/>
    <col min="21" max="21" width="4.7109375" style="41" hidden="1" customWidth="1"/>
    <col min="22" max="22" width="19.140625" style="41" hidden="1" customWidth="1"/>
    <col min="23" max="23" width="15.7109375" style="41" hidden="1" customWidth="1"/>
    <col min="24" max="24" width="5.85546875" style="41" hidden="1" customWidth="1"/>
    <col min="25" max="25" width="14.7109375" style="41" hidden="1" customWidth="1"/>
    <col min="26" max="26" width="7.28515625" style="41" hidden="1" customWidth="1"/>
    <col min="27" max="27" width="16.5703125" style="41" hidden="1" customWidth="1"/>
    <col min="28" max="28" width="5.140625" style="39" hidden="1" customWidth="1"/>
    <col min="29" max="29" width="6.42578125" style="39" hidden="1" customWidth="1"/>
    <col min="30" max="30" width="6.85546875" style="41" hidden="1" customWidth="1"/>
    <col min="31" max="32" width="10.85546875" style="41" hidden="1" customWidth="1"/>
    <col min="33" max="33" width="19.7109375" style="41" hidden="1" customWidth="1"/>
    <col min="34" max="34" width="5.140625" style="41" hidden="1" customWidth="1"/>
    <col min="35" max="35" width="5.42578125" style="41" customWidth="1"/>
    <col min="36" max="56" width="10.85546875" style="41" customWidth="1"/>
    <col min="57" max="16384" width="10.85546875" style="41"/>
  </cols>
  <sheetData>
    <row r="1" spans="6:57" x14ac:dyDescent="0.2">
      <c r="F1" s="38"/>
      <c r="G1" s="38"/>
      <c r="H1" s="38"/>
      <c r="AP1" s="42"/>
    </row>
    <row r="2" spans="6:57" ht="18.75" x14ac:dyDescent="0.3">
      <c r="I2" s="197" t="s">
        <v>302</v>
      </c>
      <c r="J2" s="197"/>
      <c r="K2" s="197"/>
      <c r="L2" s="197"/>
      <c r="M2" s="197"/>
      <c r="N2" s="197"/>
      <c r="O2" s="197"/>
      <c r="P2" s="197"/>
      <c r="Q2" s="197"/>
      <c r="AP2" s="42"/>
    </row>
    <row r="3" spans="6:57" x14ac:dyDescent="0.2">
      <c r="AA3" s="43"/>
      <c r="AB3" s="198"/>
      <c r="AC3" s="198"/>
      <c r="AD3" s="43"/>
      <c r="AP3" s="42"/>
    </row>
    <row r="4" spans="6:57" x14ac:dyDescent="0.2">
      <c r="I4" s="199" t="s">
        <v>0</v>
      </c>
      <c r="J4" s="199"/>
      <c r="K4" s="44"/>
      <c r="L4" s="44"/>
      <c r="M4" s="44"/>
      <c r="N4" s="44"/>
      <c r="O4" s="44"/>
      <c r="P4" s="45"/>
      <c r="Q4" s="44"/>
      <c r="R4" s="46"/>
      <c r="S4" s="46"/>
      <c r="AA4" s="43"/>
      <c r="AB4" s="176"/>
      <c r="AC4" s="176"/>
      <c r="AD4" s="43"/>
      <c r="AG4" s="200" t="s">
        <v>209</v>
      </c>
      <c r="AH4" s="200"/>
      <c r="AP4" s="42"/>
    </row>
    <row r="5" spans="6:57" x14ac:dyDescent="0.2">
      <c r="I5" s="125" t="s">
        <v>90</v>
      </c>
      <c r="J5" s="80">
        <f>+'VTU LEASING'!D13</f>
        <v>200000000</v>
      </c>
      <c r="K5" s="91">
        <f>+J5*J6</f>
        <v>2000000</v>
      </c>
      <c r="L5" s="92"/>
      <c r="M5" s="92"/>
      <c r="N5" s="92"/>
      <c r="O5" s="92"/>
      <c r="P5" s="93"/>
      <c r="Q5" s="92"/>
      <c r="R5" s="94"/>
      <c r="S5" s="55"/>
      <c r="T5" s="55"/>
      <c r="U5" s="55"/>
      <c r="V5" s="55"/>
      <c r="W5" s="55"/>
      <c r="X5" s="55"/>
      <c r="Y5" s="55"/>
      <c r="Z5" s="55"/>
      <c r="AA5" s="53"/>
      <c r="AB5" s="95"/>
      <c r="AC5" s="96"/>
      <c r="AD5" s="97"/>
      <c r="AE5" s="55"/>
      <c r="AF5" s="55"/>
      <c r="AG5" s="55" t="s">
        <v>210</v>
      </c>
      <c r="AH5" s="55"/>
      <c r="AI5" s="55"/>
      <c r="AJ5" s="55"/>
      <c r="AK5" s="55"/>
      <c r="AL5" s="55"/>
      <c r="AM5" s="55"/>
      <c r="AN5" s="55"/>
      <c r="AO5" s="55"/>
      <c r="AP5" s="98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</row>
    <row r="6" spans="6:57" x14ac:dyDescent="0.2">
      <c r="I6" s="125" t="s">
        <v>298</v>
      </c>
      <c r="J6" s="81">
        <f>+'VTU LEASING'!D15</f>
        <v>0.01</v>
      </c>
      <c r="K6" s="92"/>
      <c r="L6" s="92"/>
      <c r="M6" s="92"/>
      <c r="N6" s="92"/>
      <c r="O6" s="92"/>
      <c r="P6" s="93"/>
      <c r="Q6" s="92"/>
      <c r="R6" s="94"/>
      <c r="S6" s="55"/>
      <c r="T6" s="55"/>
      <c r="U6" s="55"/>
      <c r="V6" s="49" t="s">
        <v>105</v>
      </c>
      <c r="W6" s="177">
        <f>SUM(K20:K259)</f>
        <v>200000000.00000003</v>
      </c>
      <c r="X6" s="100"/>
      <c r="Y6" s="99">
        <f>SUM(X19:X258)</f>
        <v>0.4373984849714212</v>
      </c>
      <c r="Z6" s="94">
        <f>SUM(Y19:Y258)</f>
        <v>3.644987374761844E-2</v>
      </c>
      <c r="AA6" s="53"/>
      <c r="AB6" s="95"/>
      <c r="AC6" s="101"/>
      <c r="AD6" s="97"/>
      <c r="AE6" s="55"/>
      <c r="AF6" s="55"/>
      <c r="AG6" s="178" t="s">
        <v>211</v>
      </c>
      <c r="AH6" s="179">
        <v>198</v>
      </c>
      <c r="AI6" s="55"/>
      <c r="AJ6" s="55"/>
      <c r="AK6" s="55"/>
      <c r="AL6" s="55"/>
      <c r="AM6" s="55"/>
      <c r="AN6" s="55"/>
      <c r="AO6" s="55"/>
      <c r="AP6" s="98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</row>
    <row r="7" spans="6:57" x14ac:dyDescent="0.2">
      <c r="I7" s="125" t="s">
        <v>91</v>
      </c>
      <c r="J7" s="82">
        <f>+'VTU LEASING'!D14*12</f>
        <v>180</v>
      </c>
      <c r="K7" s="102"/>
      <c r="L7" s="92"/>
      <c r="M7" s="92"/>
      <c r="N7" s="92"/>
      <c r="O7" s="92"/>
      <c r="P7" s="93"/>
      <c r="Q7" s="91"/>
      <c r="R7" s="94"/>
      <c r="S7" s="55"/>
      <c r="T7" s="55"/>
      <c r="U7" s="55"/>
      <c r="V7" s="52" t="s">
        <v>280</v>
      </c>
      <c r="W7" s="177">
        <f>SUM(J20:J259)</f>
        <v>208909293.87660992</v>
      </c>
      <c r="X7" s="100"/>
      <c r="Y7" s="99">
        <f>SUM(W19:W258)</f>
        <v>82277130.280451044</v>
      </c>
      <c r="Z7" s="94">
        <f>SUM(X19:X258)</f>
        <v>0.4373984849714212</v>
      </c>
      <c r="AA7" s="53"/>
      <c r="AB7" s="95"/>
      <c r="AC7" s="101"/>
      <c r="AD7" s="97"/>
      <c r="AE7" s="55"/>
      <c r="AF7" s="55"/>
      <c r="AG7" s="178" t="s">
        <v>212</v>
      </c>
      <c r="AH7" s="179">
        <f>AH6/1.19</f>
        <v>166.38655462184875</v>
      </c>
      <c r="AI7" s="55"/>
      <c r="AJ7" s="55"/>
      <c r="AK7" s="55"/>
      <c r="AL7" s="55"/>
      <c r="AM7" s="55"/>
      <c r="AN7" s="55"/>
      <c r="AO7" s="55"/>
      <c r="AP7" s="98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</row>
    <row r="8" spans="6:57" x14ac:dyDescent="0.2">
      <c r="I8" s="125" t="s">
        <v>278</v>
      </c>
      <c r="J8" s="83">
        <f>+'VTU LEASING'!D16</f>
        <v>0.115</v>
      </c>
      <c r="K8" s="92"/>
      <c r="L8" s="92"/>
      <c r="M8" s="92"/>
      <c r="N8" s="92"/>
      <c r="O8" s="92"/>
      <c r="P8" s="93"/>
      <c r="Q8" s="103"/>
      <c r="R8" s="94"/>
      <c r="S8" s="55"/>
      <c r="T8" s="55"/>
      <c r="U8" s="55"/>
      <c r="V8" s="52" t="s">
        <v>281</v>
      </c>
      <c r="W8" s="177">
        <f ca="1">-SUM(N20:O259)</f>
        <v>42366468.625064284</v>
      </c>
      <c r="X8" s="100"/>
      <c r="Y8" s="99">
        <f>-SUM(AA18:AA257)</f>
        <v>0</v>
      </c>
      <c r="Z8" s="94">
        <f>-SUM(AA18:AB257)</f>
        <v>-3942</v>
      </c>
      <c r="AA8" s="53"/>
      <c r="AB8" s="95"/>
      <c r="AC8" s="101"/>
      <c r="AD8" s="97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98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</row>
    <row r="9" spans="6:57" x14ac:dyDescent="0.2">
      <c r="I9" s="125" t="s">
        <v>277</v>
      </c>
      <c r="J9" s="84">
        <f>+(1+J8)^(0.0833333333333333)-1</f>
        <v>9.1124684369046083E-3</v>
      </c>
      <c r="K9" s="92"/>
      <c r="L9" s="92"/>
      <c r="M9" s="92"/>
      <c r="N9" s="104"/>
      <c r="O9" s="104"/>
      <c r="P9" s="105"/>
      <c r="Q9" s="106">
        <f ca="1">+IRR(Q19:Q259)</f>
        <v>1.066471599162333E-2</v>
      </c>
      <c r="R9" s="54"/>
      <c r="S9" s="54"/>
      <c r="T9" s="55"/>
      <c r="U9" s="55"/>
      <c r="V9" s="52" t="s">
        <v>282</v>
      </c>
      <c r="W9" s="177">
        <f ca="1">+SUM(W6:W8)</f>
        <v>451275762.50167418</v>
      </c>
      <c r="X9" s="100"/>
      <c r="Y9" s="99">
        <f>-SUM(AC18:AC257)</f>
        <v>-16.676500000000004</v>
      </c>
      <c r="Z9" s="94">
        <f>-SUM(AD18:AD257)</f>
        <v>-0.166765</v>
      </c>
      <c r="AA9" s="53"/>
      <c r="AB9" s="95"/>
      <c r="AC9" s="95"/>
      <c r="AD9" s="53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98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</row>
    <row r="10" spans="6:57" s="56" customFormat="1" hidden="1" x14ac:dyDescent="0.2">
      <c r="I10" s="126" t="s">
        <v>1</v>
      </c>
      <c r="J10" s="85">
        <v>0</v>
      </c>
      <c r="K10" s="92"/>
      <c r="L10" s="107"/>
      <c r="M10" s="92"/>
      <c r="N10" s="92"/>
      <c r="O10" s="104"/>
      <c r="P10" s="105"/>
      <c r="Q10" s="92"/>
      <c r="R10" s="94"/>
      <c r="S10" s="55"/>
      <c r="T10" s="55"/>
      <c r="U10" s="55"/>
      <c r="V10" s="52" t="s">
        <v>98</v>
      </c>
      <c r="W10" s="77">
        <f ca="1">+(1+Q9)^(12)-1</f>
        <v>0.13575654490899391</v>
      </c>
      <c r="X10" s="55"/>
      <c r="Y10" s="55"/>
      <c r="Z10" s="108">
        <f>+AC12%</f>
        <v>0</v>
      </c>
      <c r="AA10" s="53"/>
      <c r="AB10" s="95"/>
      <c r="AC10" s="95"/>
      <c r="AD10" s="53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98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</row>
    <row r="11" spans="6:57" s="56" customFormat="1" hidden="1" x14ac:dyDescent="0.2">
      <c r="I11" s="126" t="s">
        <v>208</v>
      </c>
      <c r="J11" s="86">
        <f>+AH6</f>
        <v>198</v>
      </c>
      <c r="K11" s="92"/>
      <c r="L11" s="92"/>
      <c r="M11" s="92"/>
      <c r="N11" s="92"/>
      <c r="O11" s="92"/>
      <c r="P11" s="92"/>
      <c r="Q11" s="92"/>
      <c r="R11" s="55"/>
      <c r="S11" s="55"/>
      <c r="T11" s="55"/>
      <c r="U11" s="55"/>
      <c r="V11" s="55"/>
      <c r="W11" s="55"/>
      <c r="X11" s="55"/>
      <c r="Y11" s="55"/>
      <c r="Z11" s="55"/>
      <c r="AA11" s="53"/>
      <c r="AB11" s="95"/>
      <c r="AC11" s="95"/>
      <c r="AD11" s="53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98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</row>
    <row r="12" spans="6:57" x14ac:dyDescent="0.2">
      <c r="I12" s="125" t="s">
        <v>214</v>
      </c>
      <c r="J12" s="87">
        <f>+'VTU LEASING'!D17</f>
        <v>31048</v>
      </c>
      <c r="K12" s="92"/>
      <c r="L12" s="109"/>
      <c r="M12" s="92"/>
      <c r="N12" s="92"/>
      <c r="O12" s="92"/>
      <c r="P12" s="92"/>
      <c r="Q12" s="92"/>
      <c r="R12" s="55"/>
      <c r="S12" s="55"/>
      <c r="T12" s="55"/>
      <c r="U12" s="55"/>
      <c r="V12" s="55"/>
      <c r="W12" s="55"/>
      <c r="X12" s="55"/>
      <c r="Y12" s="55"/>
      <c r="Z12" s="55"/>
      <c r="AA12" s="53"/>
      <c r="AB12" s="95"/>
      <c r="AC12" s="101"/>
      <c r="AD12" s="53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98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</row>
    <row r="13" spans="6:57" x14ac:dyDescent="0.2">
      <c r="I13" s="125" t="s">
        <v>276</v>
      </c>
      <c r="J13" s="90">
        <f>+'VTU LEASING'!D11</f>
        <v>1000000000</v>
      </c>
      <c r="K13" s="92"/>
      <c r="L13" s="92"/>
      <c r="M13" s="92"/>
      <c r="N13" s="92"/>
      <c r="O13" s="92"/>
      <c r="P13" s="92"/>
      <c r="Q13" s="92"/>
      <c r="R13" s="55"/>
      <c r="S13" s="55"/>
      <c r="T13" s="55"/>
      <c r="U13" s="55"/>
      <c r="V13" s="55"/>
      <c r="W13" s="55"/>
      <c r="X13" s="55"/>
      <c r="Y13" s="55"/>
      <c r="Z13" s="55"/>
      <c r="AA13" s="53"/>
      <c r="AB13" s="95"/>
      <c r="AC13" s="101"/>
      <c r="AD13" s="97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98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</row>
    <row r="14" spans="6:57" hidden="1" x14ac:dyDescent="0.2">
      <c r="I14" s="127"/>
      <c r="J14" s="88"/>
      <c r="K14" s="110"/>
      <c r="L14" s="92"/>
      <c r="M14" s="92"/>
      <c r="N14" s="92"/>
      <c r="O14" s="92"/>
      <c r="P14" s="93"/>
      <c r="Q14" s="111"/>
      <c r="R14" s="55"/>
      <c r="S14" s="55"/>
      <c r="T14" s="55"/>
      <c r="U14" s="55"/>
      <c r="V14" s="55"/>
      <c r="W14" s="94"/>
      <c r="X14" s="55"/>
      <c r="Y14" s="55"/>
      <c r="Z14" s="55"/>
      <c r="AA14" s="53"/>
      <c r="AB14" s="95"/>
      <c r="AC14" s="101"/>
      <c r="AD14" s="97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98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</row>
    <row r="15" spans="6:57" x14ac:dyDescent="0.2">
      <c r="I15" s="125" t="s">
        <v>279</v>
      </c>
      <c r="J15" s="89">
        <f ca="1">+TODAY()</f>
        <v>43964</v>
      </c>
      <c r="K15" s="92"/>
      <c r="L15" s="92"/>
      <c r="M15" s="92"/>
      <c r="N15" s="57">
        <f ca="1">SUM(N20:N259)*-1</f>
        <v>6726468.6250642659</v>
      </c>
      <c r="O15" s="57">
        <f>SUM(O20:O259)*-1</f>
        <v>35640000</v>
      </c>
      <c r="P15" s="112"/>
      <c r="Q15" s="57">
        <f ca="1">N15+O15</f>
        <v>42366468.625064269</v>
      </c>
      <c r="R15" s="113"/>
      <c r="S15" s="55"/>
      <c r="T15" s="55"/>
      <c r="U15" s="55"/>
      <c r="V15" s="55"/>
      <c r="W15" s="94"/>
      <c r="X15" s="55"/>
      <c r="Y15" s="55"/>
      <c r="Z15" s="55"/>
      <c r="AA15" s="53"/>
      <c r="AB15" s="95"/>
      <c r="AC15" s="101"/>
      <c r="AD15" s="97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98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</row>
    <row r="16" spans="6:57" x14ac:dyDescent="0.2">
      <c r="J16" s="59"/>
      <c r="N16" s="44"/>
      <c r="O16" s="44"/>
      <c r="P16" s="45"/>
      <c r="Q16" s="44"/>
      <c r="W16" s="46"/>
      <c r="AA16" s="43"/>
      <c r="AB16" s="47"/>
      <c r="AC16" s="50"/>
      <c r="AD16" s="48"/>
      <c r="AP16" s="42"/>
    </row>
    <row r="17" spans="1:42" s="60" customFormat="1" ht="30" customHeight="1" x14ac:dyDescent="0.2">
      <c r="H17" s="114" t="s">
        <v>301</v>
      </c>
      <c r="I17" s="114" t="s">
        <v>285</v>
      </c>
      <c r="J17" s="114" t="s">
        <v>283</v>
      </c>
      <c r="K17" s="114" t="s">
        <v>105</v>
      </c>
      <c r="L17" s="114" t="s">
        <v>5</v>
      </c>
      <c r="M17" s="115"/>
      <c r="N17" s="114" t="s">
        <v>213</v>
      </c>
      <c r="O17" s="114" t="s">
        <v>284</v>
      </c>
      <c r="P17" s="116"/>
      <c r="Q17" s="114" t="s">
        <v>2</v>
      </c>
      <c r="AB17" s="61" t="s">
        <v>207</v>
      </c>
      <c r="AC17" s="62" t="s">
        <v>92</v>
      </c>
      <c r="AD17" s="63"/>
      <c r="AP17" s="64"/>
    </row>
    <row r="18" spans="1:42" hidden="1" x14ac:dyDescent="0.2">
      <c r="B18" s="201" t="s">
        <v>215</v>
      </c>
      <c r="C18" s="201"/>
      <c r="D18" s="201"/>
      <c r="E18" s="201"/>
      <c r="F18" s="65"/>
      <c r="G18" s="65"/>
      <c r="H18" s="117"/>
      <c r="I18" s="73"/>
      <c r="J18" s="73"/>
      <c r="K18" s="73"/>
      <c r="L18" s="51"/>
      <c r="M18" s="73"/>
      <c r="N18" s="73"/>
      <c r="O18" s="73"/>
      <c r="P18" s="118"/>
      <c r="Q18" s="73"/>
      <c r="W18" s="65"/>
      <c r="AA18" s="66"/>
      <c r="AB18" s="67">
        <v>18</v>
      </c>
      <c r="AC18" s="74">
        <v>1.55E-2</v>
      </c>
      <c r="AD18" s="68">
        <f>+AC18%</f>
        <v>1.55E-4</v>
      </c>
      <c r="AP18" s="42"/>
    </row>
    <row r="19" spans="1:42" hidden="1" x14ac:dyDescent="0.2">
      <c r="A19" s="69">
        <f ca="1">+DATE(YEAR($J$15)-1,MONTH(J12),DAY(J12))</f>
        <v>43466</v>
      </c>
      <c r="B19" s="70">
        <f ca="1">+YEAR(A19)-YEAR(J12)</f>
        <v>34</v>
      </c>
      <c r="C19" s="70"/>
      <c r="D19" s="70"/>
      <c r="F19" s="71">
        <v>0</v>
      </c>
      <c r="G19" s="71"/>
      <c r="H19" s="119"/>
      <c r="I19" s="120">
        <v>0</v>
      </c>
      <c r="J19" s="58"/>
      <c r="K19" s="51"/>
      <c r="L19" s="51">
        <f>+J5</f>
        <v>200000000</v>
      </c>
      <c r="M19" s="58"/>
      <c r="N19" s="58"/>
      <c r="O19" s="58"/>
      <c r="P19" s="121">
        <v>0</v>
      </c>
      <c r="Q19" s="58">
        <f>+L19</f>
        <v>200000000</v>
      </c>
      <c r="T19" s="46"/>
      <c r="V19" s="46"/>
      <c r="W19" s="65"/>
      <c r="X19" s="72"/>
      <c r="Y19" s="66"/>
      <c r="Z19" s="46"/>
      <c r="AA19" s="66"/>
      <c r="AB19" s="73">
        <v>19</v>
      </c>
      <c r="AC19" s="74">
        <v>1.55E-2</v>
      </c>
      <c r="AD19" s="68">
        <f t="shared" ref="AD19:AD82" si="0">+AC19%</f>
        <v>1.55E-4</v>
      </c>
      <c r="AP19" s="42"/>
    </row>
    <row r="20" spans="1:42" x14ac:dyDescent="0.2">
      <c r="A20" s="69">
        <f ca="1">+EDATE(A19,12)</f>
        <v>43831</v>
      </c>
      <c r="B20" s="70">
        <f ca="1">+YEAR(A20)-YEAR(A19)+B19</f>
        <v>35</v>
      </c>
      <c r="C20" s="69">
        <f ca="1">+VLOOKUP(E20,$A$19:$B$43,1,1)</f>
        <v>43831</v>
      </c>
      <c r="D20" s="70">
        <f ca="1">+VLOOKUP(C20,$A$19:$B$43,2,0)</f>
        <v>35</v>
      </c>
      <c r="E20" s="69">
        <f ca="1">+J15</f>
        <v>43964</v>
      </c>
      <c r="F20" s="65" t="s">
        <v>6</v>
      </c>
      <c r="G20" s="65"/>
      <c r="H20" s="122">
        <f>P20</f>
        <v>1</v>
      </c>
      <c r="I20" s="123">
        <f>+PMT(J9,J7,J5,-K5)</f>
        <v>-2260607.1882033879</v>
      </c>
      <c r="J20" s="58">
        <f t="shared" ref="J20:J83" si="1">+IF(L19&gt;0,L19*$J$9,0)</f>
        <v>1822493.6873809216</v>
      </c>
      <c r="K20" s="51">
        <f>+IF(L19&gt;0,-I20-J20,0)</f>
        <v>438113.50082246633</v>
      </c>
      <c r="L20" s="51">
        <f t="shared" ref="L20:L83" si="2">+L19-K20</f>
        <v>199561886.49917755</v>
      </c>
      <c r="M20" s="58">
        <f t="shared" ref="M20:M83" si="3">+-L19/1000000*$J$10</f>
        <v>0</v>
      </c>
      <c r="N20" s="58">
        <f t="shared" ref="N20:N83" ca="1" si="4">+-VLOOKUP(D20,$AB$17:$AF$90,3,0)*L19</f>
        <v>-43800</v>
      </c>
      <c r="O20" s="58">
        <f t="shared" ref="O20:O83" si="5">IF(L19&gt;0.1,-$J$13/1000000*$J$11,0)</f>
        <v>-198000</v>
      </c>
      <c r="P20" s="121">
        <v>1</v>
      </c>
      <c r="Q20" s="124">
        <f ca="1">+I20+M20+N20+O20</f>
        <v>-2502407.1882033879</v>
      </c>
      <c r="T20" s="66"/>
      <c r="V20" s="66"/>
      <c r="W20" s="65"/>
      <c r="X20" s="72"/>
      <c r="Y20" s="66"/>
      <c r="Z20" s="46"/>
      <c r="AA20" s="66"/>
      <c r="AB20" s="73">
        <v>20</v>
      </c>
      <c r="AC20" s="74">
        <v>1.55E-2</v>
      </c>
      <c r="AD20" s="68">
        <f t="shared" si="0"/>
        <v>1.55E-4</v>
      </c>
      <c r="AP20" s="42"/>
    </row>
    <row r="21" spans="1:42" x14ac:dyDescent="0.2">
      <c r="A21" s="69">
        <f t="shared" ref="A21:A43" ca="1" si="6">+EDATE(A20,12)</f>
        <v>44197</v>
      </c>
      <c r="B21" s="70">
        <f t="shared" ref="B21:B43" ca="1" si="7">+YEAR(A21)-YEAR(A20)+B20</f>
        <v>36</v>
      </c>
      <c r="C21" s="69">
        <f t="shared" ref="C21:C84" ca="1" si="8">+VLOOKUP(E21,$A$19:$B$43,1,1)</f>
        <v>43831</v>
      </c>
      <c r="D21" s="70">
        <f t="shared" ref="D21:D84" ca="1" si="9">+VLOOKUP(C21,$A$19:$B$43,2,0)</f>
        <v>35</v>
      </c>
      <c r="E21" s="69">
        <f ca="1">+EDATE(E20,1)</f>
        <v>43995</v>
      </c>
      <c r="F21" s="65" t="s">
        <v>7</v>
      </c>
      <c r="G21" s="65"/>
      <c r="H21" s="122">
        <f t="shared" ref="H21:H84" si="10">P21</f>
        <v>2</v>
      </c>
      <c r="I21" s="123">
        <f>+IF(L20&gt;0.1,IF(P21=$J$7,I20-$K$5,I20),0)</f>
        <v>-2260607.1882033879</v>
      </c>
      <c r="J21" s="58">
        <f t="shared" si="1"/>
        <v>1818501.3919328952</v>
      </c>
      <c r="K21" s="51">
        <f t="shared" ref="K21:K84" si="11">+IF(L20&gt;0,-I21-J21,0)</f>
        <v>442105.79627049272</v>
      </c>
      <c r="L21" s="51">
        <f t="shared" si="2"/>
        <v>199119780.70290706</v>
      </c>
      <c r="M21" s="58">
        <f t="shared" si="3"/>
        <v>0</v>
      </c>
      <c r="N21" s="58">
        <f t="shared" ca="1" si="4"/>
        <v>-43704.053143319878</v>
      </c>
      <c r="O21" s="58">
        <f t="shared" si="5"/>
        <v>-198000</v>
      </c>
      <c r="P21" s="121">
        <f>+P20+1</f>
        <v>2</v>
      </c>
      <c r="Q21" s="124">
        <f t="shared" ref="Q21:Q84" ca="1" si="12">+I21+M21+N21+O21</f>
        <v>-2502311.2413467076</v>
      </c>
      <c r="V21" s="66"/>
      <c r="W21" s="65"/>
      <c r="X21" s="72"/>
      <c r="Y21" s="66"/>
      <c r="Z21" s="46"/>
      <c r="AA21" s="66"/>
      <c r="AB21" s="73">
        <v>21</v>
      </c>
      <c r="AC21" s="75">
        <v>1.5599999999999999E-2</v>
      </c>
      <c r="AD21" s="68">
        <f t="shared" si="0"/>
        <v>1.56E-4</v>
      </c>
      <c r="AP21" s="42"/>
    </row>
    <row r="22" spans="1:42" x14ac:dyDescent="0.2">
      <c r="A22" s="69">
        <f t="shared" ca="1" si="6"/>
        <v>44562</v>
      </c>
      <c r="B22" s="70">
        <f t="shared" ca="1" si="7"/>
        <v>37</v>
      </c>
      <c r="C22" s="69">
        <f t="shared" ca="1" si="8"/>
        <v>43831</v>
      </c>
      <c r="D22" s="70">
        <f t="shared" ca="1" si="9"/>
        <v>35</v>
      </c>
      <c r="E22" s="69">
        <f t="shared" ref="E22:E85" ca="1" si="13">+EDATE(E21,1)</f>
        <v>44025</v>
      </c>
      <c r="F22" s="65" t="s">
        <v>8</v>
      </c>
      <c r="G22" s="65"/>
      <c r="H22" s="122">
        <f t="shared" si="10"/>
        <v>3</v>
      </c>
      <c r="I22" s="123">
        <f t="shared" ref="I22:I85" si="14">+IF(L21&gt;0.1,IF(P22=$J$7,I21-$K$5,I21),0)</f>
        <v>-2260607.1882033879</v>
      </c>
      <c r="J22" s="58">
        <f t="shared" si="1"/>
        <v>1814472.7168186079</v>
      </c>
      <c r="K22" s="51">
        <f t="shared" si="11"/>
        <v>446134.47138478002</v>
      </c>
      <c r="L22" s="51">
        <f t="shared" si="2"/>
        <v>198673646.23152226</v>
      </c>
      <c r="M22" s="58">
        <f t="shared" si="3"/>
        <v>0</v>
      </c>
      <c r="N22" s="58">
        <f t="shared" ca="1" si="4"/>
        <v>-43607.231973936643</v>
      </c>
      <c r="O22" s="58">
        <f t="shared" si="5"/>
        <v>-198000</v>
      </c>
      <c r="P22" s="121">
        <f t="shared" ref="P22:P85" si="15">+P21+1</f>
        <v>3</v>
      </c>
      <c r="Q22" s="124">
        <f t="shared" ca="1" si="12"/>
        <v>-2502214.4201773247</v>
      </c>
      <c r="V22" s="66"/>
      <c r="W22" s="65"/>
      <c r="X22" s="72"/>
      <c r="Y22" s="66"/>
      <c r="Z22" s="46"/>
      <c r="AA22" s="66"/>
      <c r="AB22" s="73">
        <v>22</v>
      </c>
      <c r="AC22" s="75">
        <v>1.5800000000000002E-2</v>
      </c>
      <c r="AD22" s="68">
        <f t="shared" si="0"/>
        <v>1.5800000000000002E-4</v>
      </c>
      <c r="AP22" s="42"/>
    </row>
    <row r="23" spans="1:42" x14ac:dyDescent="0.2">
      <c r="A23" s="69">
        <f t="shared" ca="1" si="6"/>
        <v>44927</v>
      </c>
      <c r="B23" s="70">
        <f t="shared" ca="1" si="7"/>
        <v>38</v>
      </c>
      <c r="C23" s="69">
        <f t="shared" ca="1" si="8"/>
        <v>43831</v>
      </c>
      <c r="D23" s="70">
        <f t="shared" ca="1" si="9"/>
        <v>35</v>
      </c>
      <c r="E23" s="69">
        <f t="shared" ca="1" si="13"/>
        <v>44056</v>
      </c>
      <c r="F23" s="65" t="s">
        <v>9</v>
      </c>
      <c r="G23" s="65"/>
      <c r="H23" s="122">
        <f t="shared" si="10"/>
        <v>4</v>
      </c>
      <c r="I23" s="123">
        <f t="shared" si="14"/>
        <v>-2260607.1882033879</v>
      </c>
      <c r="J23" s="58">
        <f t="shared" si="1"/>
        <v>1810407.3305294989</v>
      </c>
      <c r="K23" s="51">
        <f t="shared" si="11"/>
        <v>450199.85767388903</v>
      </c>
      <c r="L23" s="51">
        <f t="shared" si="2"/>
        <v>198223446.37384838</v>
      </c>
      <c r="M23" s="58">
        <f t="shared" si="3"/>
        <v>0</v>
      </c>
      <c r="N23" s="58">
        <f t="shared" ca="1" si="4"/>
        <v>-43509.528524703375</v>
      </c>
      <c r="O23" s="58">
        <f t="shared" si="5"/>
        <v>-198000</v>
      </c>
      <c r="P23" s="121">
        <f t="shared" si="15"/>
        <v>4</v>
      </c>
      <c r="Q23" s="124">
        <f t="shared" ca="1" si="12"/>
        <v>-2502116.7167280912</v>
      </c>
      <c r="W23" s="65"/>
      <c r="X23" s="72"/>
      <c r="Y23" s="66"/>
      <c r="Z23" s="46"/>
      <c r="AA23" s="66"/>
      <c r="AB23" s="73">
        <v>23</v>
      </c>
      <c r="AC23" s="75">
        <v>1.6E-2</v>
      </c>
      <c r="AD23" s="68">
        <f t="shared" si="0"/>
        <v>1.6000000000000001E-4</v>
      </c>
      <c r="AP23" s="42"/>
    </row>
    <row r="24" spans="1:42" x14ac:dyDescent="0.2">
      <c r="A24" s="69">
        <f t="shared" ca="1" si="6"/>
        <v>45292</v>
      </c>
      <c r="B24" s="70">
        <f t="shared" ca="1" si="7"/>
        <v>39</v>
      </c>
      <c r="C24" s="69">
        <f t="shared" ca="1" si="8"/>
        <v>43831</v>
      </c>
      <c r="D24" s="70">
        <f t="shared" ca="1" si="9"/>
        <v>35</v>
      </c>
      <c r="E24" s="69">
        <f t="shared" ca="1" si="13"/>
        <v>44087</v>
      </c>
      <c r="F24" s="65" t="s">
        <v>10</v>
      </c>
      <c r="G24" s="65"/>
      <c r="H24" s="122">
        <f t="shared" si="10"/>
        <v>5</v>
      </c>
      <c r="I24" s="123">
        <f t="shared" si="14"/>
        <v>-2260607.1882033879</v>
      </c>
      <c r="J24" s="58">
        <f t="shared" si="1"/>
        <v>1806304.8985361466</v>
      </c>
      <c r="K24" s="51">
        <f t="shared" si="11"/>
        <v>454302.28966724128</v>
      </c>
      <c r="L24" s="51">
        <f t="shared" si="2"/>
        <v>197769144.08418113</v>
      </c>
      <c r="M24" s="58">
        <f t="shared" si="3"/>
        <v>0</v>
      </c>
      <c r="N24" s="58">
        <f t="shared" ca="1" si="4"/>
        <v>-43410.93475587279</v>
      </c>
      <c r="O24" s="58">
        <f t="shared" si="5"/>
        <v>-198000</v>
      </c>
      <c r="P24" s="121">
        <f t="shared" si="15"/>
        <v>5</v>
      </c>
      <c r="Q24" s="124">
        <f t="shared" ca="1" si="12"/>
        <v>-2502018.1229592608</v>
      </c>
      <c r="W24" s="65"/>
      <c r="X24" s="72"/>
      <c r="Y24" s="66"/>
      <c r="Z24" s="46"/>
      <c r="AA24" s="66"/>
      <c r="AB24" s="73">
        <v>24</v>
      </c>
      <c r="AC24" s="75">
        <v>1.6E-2</v>
      </c>
      <c r="AD24" s="68">
        <f t="shared" si="0"/>
        <v>1.6000000000000001E-4</v>
      </c>
      <c r="AP24" s="42"/>
    </row>
    <row r="25" spans="1:42" x14ac:dyDescent="0.2">
      <c r="A25" s="69">
        <f t="shared" ca="1" si="6"/>
        <v>45658</v>
      </c>
      <c r="B25" s="70">
        <f t="shared" ca="1" si="7"/>
        <v>40</v>
      </c>
      <c r="C25" s="69">
        <f t="shared" ca="1" si="8"/>
        <v>43831</v>
      </c>
      <c r="D25" s="70">
        <f t="shared" ca="1" si="9"/>
        <v>35</v>
      </c>
      <c r="E25" s="69">
        <f t="shared" ca="1" si="13"/>
        <v>44117</v>
      </c>
      <c r="F25" s="65" t="s">
        <v>11</v>
      </c>
      <c r="G25" s="65"/>
      <c r="H25" s="122">
        <f t="shared" si="10"/>
        <v>6</v>
      </c>
      <c r="I25" s="123">
        <f t="shared" si="14"/>
        <v>-2260607.1882033879</v>
      </c>
      <c r="J25" s="58">
        <f t="shared" si="1"/>
        <v>1802165.0832607404</v>
      </c>
      <c r="K25" s="51">
        <f t="shared" si="11"/>
        <v>458442.10494264751</v>
      </c>
      <c r="L25" s="51">
        <f t="shared" si="2"/>
        <v>197310701.97923848</v>
      </c>
      <c r="M25" s="58">
        <f t="shared" si="3"/>
        <v>0</v>
      </c>
      <c r="N25" s="58">
        <f t="shared" ca="1" si="4"/>
        <v>-43311.442554435664</v>
      </c>
      <c r="O25" s="58">
        <f t="shared" si="5"/>
        <v>-198000</v>
      </c>
      <c r="P25" s="121">
        <f t="shared" si="15"/>
        <v>6</v>
      </c>
      <c r="Q25" s="124">
        <f t="shared" ca="1" si="12"/>
        <v>-2501918.6307578236</v>
      </c>
      <c r="R25" s="46"/>
      <c r="W25" s="65"/>
      <c r="X25" s="72"/>
      <c r="Y25" s="66"/>
      <c r="Z25" s="46"/>
      <c r="AA25" s="66"/>
      <c r="AB25" s="73">
        <v>25</v>
      </c>
      <c r="AC25" s="75">
        <v>1.6400000000000001E-2</v>
      </c>
      <c r="AD25" s="68">
        <f t="shared" si="0"/>
        <v>1.64E-4</v>
      </c>
      <c r="AP25" s="42"/>
    </row>
    <row r="26" spans="1:42" x14ac:dyDescent="0.2">
      <c r="A26" s="69">
        <f t="shared" ca="1" si="6"/>
        <v>46023</v>
      </c>
      <c r="B26" s="70">
        <f t="shared" ca="1" si="7"/>
        <v>41</v>
      </c>
      <c r="C26" s="69">
        <f t="shared" ca="1" si="8"/>
        <v>43831</v>
      </c>
      <c r="D26" s="70">
        <f t="shared" ca="1" si="9"/>
        <v>35</v>
      </c>
      <c r="E26" s="69">
        <f t="shared" ca="1" si="13"/>
        <v>44148</v>
      </c>
      <c r="F26" s="65" t="s">
        <v>12</v>
      </c>
      <c r="G26" s="65"/>
      <c r="H26" s="122">
        <f t="shared" si="10"/>
        <v>7</v>
      </c>
      <c r="I26" s="123">
        <f t="shared" si="14"/>
        <v>-2260607.1882033879</v>
      </c>
      <c r="J26" s="58">
        <f t="shared" si="1"/>
        <v>1797987.5440493023</v>
      </c>
      <c r="K26" s="51">
        <f t="shared" si="11"/>
        <v>462619.64415408554</v>
      </c>
      <c r="L26" s="51">
        <f t="shared" si="2"/>
        <v>196848082.33508441</v>
      </c>
      <c r="M26" s="58">
        <f t="shared" si="3"/>
        <v>0</v>
      </c>
      <c r="N26" s="58">
        <f t="shared" ca="1" si="4"/>
        <v>-43211.043733453225</v>
      </c>
      <c r="O26" s="58">
        <f t="shared" si="5"/>
        <v>-198000</v>
      </c>
      <c r="P26" s="121">
        <f t="shared" si="15"/>
        <v>7</v>
      </c>
      <c r="Q26" s="124">
        <f t="shared" ca="1" si="12"/>
        <v>-2501818.2319368413</v>
      </c>
      <c r="R26" s="46"/>
      <c r="W26" s="65"/>
      <c r="X26" s="72"/>
      <c r="Y26" s="66"/>
      <c r="Z26" s="46"/>
      <c r="AA26" s="66"/>
      <c r="AB26" s="73">
        <v>26</v>
      </c>
      <c r="AC26" s="74">
        <v>1.6799999999999999E-2</v>
      </c>
      <c r="AD26" s="68">
        <f t="shared" si="0"/>
        <v>1.6799999999999999E-4</v>
      </c>
      <c r="AP26" s="42"/>
    </row>
    <row r="27" spans="1:42" x14ac:dyDescent="0.2">
      <c r="A27" s="69">
        <f t="shared" ca="1" si="6"/>
        <v>46388</v>
      </c>
      <c r="B27" s="70">
        <f t="shared" ca="1" si="7"/>
        <v>42</v>
      </c>
      <c r="C27" s="69">
        <f t="shared" ca="1" si="8"/>
        <v>43831</v>
      </c>
      <c r="D27" s="70">
        <f t="shared" ca="1" si="9"/>
        <v>35</v>
      </c>
      <c r="E27" s="69">
        <f t="shared" ca="1" si="13"/>
        <v>44178</v>
      </c>
      <c r="F27" s="65" t="s">
        <v>13</v>
      </c>
      <c r="G27" s="65"/>
      <c r="H27" s="122">
        <f t="shared" si="10"/>
        <v>8</v>
      </c>
      <c r="I27" s="123">
        <f t="shared" si="14"/>
        <v>-2260607.1882033879</v>
      </c>
      <c r="J27" s="58">
        <f t="shared" si="1"/>
        <v>1793771.9371436562</v>
      </c>
      <c r="K27" s="51">
        <f t="shared" si="11"/>
        <v>466835.2510597317</v>
      </c>
      <c r="L27" s="51">
        <f t="shared" si="2"/>
        <v>196381247.08402467</v>
      </c>
      <c r="M27" s="58">
        <f t="shared" si="3"/>
        <v>0</v>
      </c>
      <c r="N27" s="58">
        <f t="shared" ca="1" si="4"/>
        <v>-43109.730031383486</v>
      </c>
      <c r="O27" s="58">
        <f t="shared" si="5"/>
        <v>-198000</v>
      </c>
      <c r="P27" s="121">
        <f t="shared" si="15"/>
        <v>8</v>
      </c>
      <c r="Q27" s="124">
        <f t="shared" ca="1" si="12"/>
        <v>-2501716.9182347716</v>
      </c>
      <c r="R27" s="46"/>
      <c r="W27" s="65"/>
      <c r="X27" s="72"/>
      <c r="Y27" s="66"/>
      <c r="Z27" s="46"/>
      <c r="AA27" s="66"/>
      <c r="AB27" s="73">
        <v>27</v>
      </c>
      <c r="AC27" s="74">
        <v>1.7299999999999999E-2</v>
      </c>
      <c r="AD27" s="68">
        <f t="shared" si="0"/>
        <v>1.73E-4</v>
      </c>
    </row>
    <row r="28" spans="1:42" x14ac:dyDescent="0.2">
      <c r="A28" s="69">
        <f t="shared" ca="1" si="6"/>
        <v>46753</v>
      </c>
      <c r="B28" s="70">
        <f t="shared" ca="1" si="7"/>
        <v>43</v>
      </c>
      <c r="C28" s="69">
        <f t="shared" ca="1" si="8"/>
        <v>44197</v>
      </c>
      <c r="D28" s="70">
        <f t="shared" ca="1" si="9"/>
        <v>36</v>
      </c>
      <c r="E28" s="69">
        <f t="shared" ca="1" si="13"/>
        <v>44209</v>
      </c>
      <c r="F28" s="65" t="s">
        <v>14</v>
      </c>
      <c r="G28" s="65"/>
      <c r="H28" s="122">
        <f t="shared" si="10"/>
        <v>9</v>
      </c>
      <c r="I28" s="123">
        <f t="shared" si="14"/>
        <v>-2260607.1882033879</v>
      </c>
      <c r="J28" s="58">
        <f t="shared" si="1"/>
        <v>1789517.9156531398</v>
      </c>
      <c r="K28" s="51">
        <f t="shared" si="11"/>
        <v>471089.27255024808</v>
      </c>
      <c r="L28" s="51">
        <f t="shared" si="2"/>
        <v>195910157.81147441</v>
      </c>
      <c r="M28" s="58">
        <f t="shared" si="3"/>
        <v>0</v>
      </c>
      <c r="N28" s="58">
        <f t="shared" ca="1" si="4"/>
        <v>-46738.736805997876</v>
      </c>
      <c r="O28" s="58">
        <f t="shared" si="5"/>
        <v>-198000</v>
      </c>
      <c r="P28" s="121">
        <f t="shared" si="15"/>
        <v>9</v>
      </c>
      <c r="Q28" s="124">
        <f t="shared" ca="1" si="12"/>
        <v>-2505345.9250093857</v>
      </c>
      <c r="R28" s="65"/>
      <c r="X28" s="72"/>
      <c r="Y28" s="66"/>
      <c r="Z28" s="46"/>
      <c r="AA28" s="66"/>
      <c r="AB28" s="73">
        <v>28</v>
      </c>
      <c r="AC28" s="74">
        <v>1.7399999999999999E-2</v>
      </c>
      <c r="AD28" s="68">
        <f t="shared" si="0"/>
        <v>1.74E-4</v>
      </c>
    </row>
    <row r="29" spans="1:42" x14ac:dyDescent="0.2">
      <c r="A29" s="69">
        <f t="shared" ca="1" si="6"/>
        <v>47119</v>
      </c>
      <c r="B29" s="70">
        <f t="shared" ca="1" si="7"/>
        <v>44</v>
      </c>
      <c r="C29" s="69">
        <f t="shared" ca="1" si="8"/>
        <v>44197</v>
      </c>
      <c r="D29" s="70">
        <f t="shared" ca="1" si="9"/>
        <v>36</v>
      </c>
      <c r="E29" s="69">
        <f t="shared" ca="1" si="13"/>
        <v>44240</v>
      </c>
      <c r="F29" s="65" t="s">
        <v>15</v>
      </c>
      <c r="G29" s="65"/>
      <c r="H29" s="122">
        <f t="shared" si="10"/>
        <v>10</v>
      </c>
      <c r="I29" s="123">
        <f t="shared" si="14"/>
        <v>-2260607.1882033879</v>
      </c>
      <c r="J29" s="58">
        <f t="shared" si="1"/>
        <v>1785225.1295260615</v>
      </c>
      <c r="K29" s="51">
        <f t="shared" si="11"/>
        <v>475382.05867732642</v>
      </c>
      <c r="L29" s="51">
        <f t="shared" si="2"/>
        <v>195434775.7527971</v>
      </c>
      <c r="M29" s="58">
        <f t="shared" si="3"/>
        <v>0</v>
      </c>
      <c r="N29" s="58">
        <f t="shared" ca="1" si="4"/>
        <v>-46626.617559130915</v>
      </c>
      <c r="O29" s="58">
        <f t="shared" si="5"/>
        <v>-198000</v>
      </c>
      <c r="P29" s="121">
        <f t="shared" si="15"/>
        <v>10</v>
      </c>
      <c r="Q29" s="124">
        <f t="shared" ca="1" si="12"/>
        <v>-2505233.8057625187</v>
      </c>
      <c r="R29" s="46"/>
      <c r="W29" s="65"/>
      <c r="X29" s="72"/>
      <c r="Y29" s="66"/>
      <c r="Z29" s="46"/>
      <c r="AA29" s="66"/>
      <c r="AB29" s="73">
        <v>29</v>
      </c>
      <c r="AC29" s="75">
        <v>1.77E-2</v>
      </c>
      <c r="AD29" s="68">
        <f t="shared" si="0"/>
        <v>1.7699999999999999E-4</v>
      </c>
    </row>
    <row r="30" spans="1:42" x14ac:dyDescent="0.2">
      <c r="A30" s="69">
        <f t="shared" ca="1" si="6"/>
        <v>47484</v>
      </c>
      <c r="B30" s="70">
        <f t="shared" ca="1" si="7"/>
        <v>45</v>
      </c>
      <c r="C30" s="69">
        <f t="shared" ca="1" si="8"/>
        <v>44197</v>
      </c>
      <c r="D30" s="70">
        <f t="shared" ca="1" si="9"/>
        <v>36</v>
      </c>
      <c r="E30" s="69">
        <f t="shared" ca="1" si="13"/>
        <v>44268</v>
      </c>
      <c r="F30" s="65" t="s">
        <v>16</v>
      </c>
      <c r="G30" s="65"/>
      <c r="H30" s="122">
        <f t="shared" si="10"/>
        <v>11</v>
      </c>
      <c r="I30" s="123">
        <f t="shared" si="14"/>
        <v>-2260607.1882033879</v>
      </c>
      <c r="J30" s="58">
        <f t="shared" si="1"/>
        <v>1780893.2255208937</v>
      </c>
      <c r="K30" s="51">
        <f t="shared" si="11"/>
        <v>479713.9626824942</v>
      </c>
      <c r="L30" s="51">
        <f t="shared" si="2"/>
        <v>194955061.79011461</v>
      </c>
      <c r="M30" s="58">
        <f t="shared" si="3"/>
        <v>0</v>
      </c>
      <c r="N30" s="58">
        <f t="shared" ca="1" si="4"/>
        <v>-46513.476629165714</v>
      </c>
      <c r="O30" s="58">
        <f t="shared" si="5"/>
        <v>-198000</v>
      </c>
      <c r="P30" s="121">
        <f t="shared" si="15"/>
        <v>11</v>
      </c>
      <c r="Q30" s="124">
        <f t="shared" ca="1" si="12"/>
        <v>-2505120.6648325538</v>
      </c>
      <c r="R30" s="46"/>
      <c r="W30" s="65" t="s">
        <v>99</v>
      </c>
      <c r="X30" s="72"/>
      <c r="Y30" s="66"/>
      <c r="Z30" s="46"/>
      <c r="AA30" s="66"/>
      <c r="AB30" s="73">
        <v>30</v>
      </c>
      <c r="AC30" s="75">
        <v>1.8499999999999999E-2</v>
      </c>
      <c r="AD30" s="68">
        <f t="shared" si="0"/>
        <v>1.85E-4</v>
      </c>
    </row>
    <row r="31" spans="1:42" x14ac:dyDescent="0.2">
      <c r="A31" s="69">
        <f t="shared" ca="1" si="6"/>
        <v>47849</v>
      </c>
      <c r="B31" s="70">
        <f t="shared" ca="1" si="7"/>
        <v>46</v>
      </c>
      <c r="C31" s="69">
        <f t="shared" ca="1" si="8"/>
        <v>44197</v>
      </c>
      <c r="D31" s="70">
        <f t="shared" ca="1" si="9"/>
        <v>36</v>
      </c>
      <c r="E31" s="69">
        <f t="shared" ca="1" si="13"/>
        <v>44299</v>
      </c>
      <c r="F31" s="65" t="s">
        <v>17</v>
      </c>
      <c r="G31" s="65"/>
      <c r="H31" s="122">
        <f t="shared" si="10"/>
        <v>12</v>
      </c>
      <c r="I31" s="123">
        <f t="shared" si="14"/>
        <v>-2260607.1882033879</v>
      </c>
      <c r="J31" s="58">
        <f t="shared" si="1"/>
        <v>1776521.847177207</v>
      </c>
      <c r="K31" s="51">
        <f t="shared" si="11"/>
        <v>484085.34102618089</v>
      </c>
      <c r="L31" s="51">
        <f t="shared" si="2"/>
        <v>194470976.44908842</v>
      </c>
      <c r="M31" s="58">
        <f t="shared" si="3"/>
        <v>0</v>
      </c>
      <c r="N31" s="58">
        <f t="shared" ca="1" si="4"/>
        <v>-46399.304706047282</v>
      </c>
      <c r="O31" s="58">
        <f t="shared" si="5"/>
        <v>-198000</v>
      </c>
      <c r="P31" s="121">
        <f t="shared" si="15"/>
        <v>12</v>
      </c>
      <c r="Q31" s="124">
        <f t="shared" ca="1" si="12"/>
        <v>-2505006.4929094352</v>
      </c>
      <c r="R31" s="46">
        <f>+AVERAGE(L19:L30)</f>
        <v>197515660.88703081</v>
      </c>
      <c r="S31" s="46">
        <f ca="1">+SUM(Q20:Q31)</f>
        <v>-30037228.358858105</v>
      </c>
      <c r="T31" s="46">
        <f>+SUM(J20:J31)</f>
        <v>21598262.707529072</v>
      </c>
      <c r="U31" s="46">
        <f>+-SUM(M20:M31)</f>
        <v>0</v>
      </c>
      <c r="V31" s="46">
        <f>+SUM(K20:K31)</f>
        <v>5529023.550911583</v>
      </c>
      <c r="W31" s="46">
        <f>+U31+T31</f>
        <v>21598262.707529072</v>
      </c>
      <c r="X31" s="76">
        <f>+W31/R31</f>
        <v>0.10934962124285531</v>
      </c>
      <c r="Y31" s="76">
        <f>+X31/12</f>
        <v>9.11246843690461E-3</v>
      </c>
      <c r="Z31" s="77">
        <f>+(1+Y31)^(12)-1</f>
        <v>0.11500000000000155</v>
      </c>
      <c r="AA31" s="66"/>
      <c r="AB31" s="73">
        <v>31</v>
      </c>
      <c r="AC31" s="75">
        <v>1.9E-2</v>
      </c>
      <c r="AD31" s="68">
        <f t="shared" si="0"/>
        <v>1.8999999999999998E-4</v>
      </c>
    </row>
    <row r="32" spans="1:42" x14ac:dyDescent="0.2">
      <c r="A32" s="69">
        <f t="shared" ca="1" si="6"/>
        <v>48214</v>
      </c>
      <c r="B32" s="70">
        <f t="shared" ca="1" si="7"/>
        <v>47</v>
      </c>
      <c r="C32" s="69">
        <f t="shared" ca="1" si="8"/>
        <v>44197</v>
      </c>
      <c r="D32" s="70">
        <f t="shared" ca="1" si="9"/>
        <v>36</v>
      </c>
      <c r="E32" s="69">
        <f t="shared" ca="1" si="13"/>
        <v>44329</v>
      </c>
      <c r="F32" s="65" t="s">
        <v>18</v>
      </c>
      <c r="G32" s="65"/>
      <c r="H32" s="122">
        <f t="shared" si="10"/>
        <v>13</v>
      </c>
      <c r="I32" s="123">
        <f t="shared" si="14"/>
        <v>-2260607.1882033879</v>
      </c>
      <c r="J32" s="58">
        <f t="shared" si="1"/>
        <v>1772110.6347863376</v>
      </c>
      <c r="K32" s="51">
        <f t="shared" si="11"/>
        <v>488496.55341705028</v>
      </c>
      <c r="L32" s="51">
        <f t="shared" si="2"/>
        <v>193982479.89567137</v>
      </c>
      <c r="M32" s="58">
        <f t="shared" si="3"/>
        <v>0</v>
      </c>
      <c r="N32" s="58">
        <f t="shared" ca="1" si="4"/>
        <v>-46284.092394883046</v>
      </c>
      <c r="O32" s="58">
        <f t="shared" si="5"/>
        <v>-198000</v>
      </c>
      <c r="P32" s="121">
        <f t="shared" si="15"/>
        <v>13</v>
      </c>
      <c r="Q32" s="124">
        <f t="shared" ca="1" si="12"/>
        <v>-2504891.2805982707</v>
      </c>
      <c r="R32" s="46"/>
      <c r="W32" s="65"/>
      <c r="X32" s="72"/>
      <c r="Y32" s="66"/>
      <c r="Z32" s="46"/>
      <c r="AA32" s="66"/>
      <c r="AB32" s="73">
        <v>32</v>
      </c>
      <c r="AC32" s="78">
        <v>2.0400000000000001E-2</v>
      </c>
      <c r="AD32" s="68">
        <f t="shared" si="0"/>
        <v>2.0400000000000003E-4</v>
      </c>
    </row>
    <row r="33" spans="1:30" x14ac:dyDescent="0.2">
      <c r="A33" s="69">
        <f t="shared" ca="1" si="6"/>
        <v>48580</v>
      </c>
      <c r="B33" s="70">
        <f t="shared" ca="1" si="7"/>
        <v>48</v>
      </c>
      <c r="C33" s="69">
        <f t="shared" ca="1" si="8"/>
        <v>44197</v>
      </c>
      <c r="D33" s="70">
        <f t="shared" ca="1" si="9"/>
        <v>36</v>
      </c>
      <c r="E33" s="69">
        <f t="shared" ca="1" si="13"/>
        <v>44360</v>
      </c>
      <c r="F33" s="65" t="s">
        <v>19</v>
      </c>
      <c r="G33" s="65"/>
      <c r="H33" s="122">
        <f t="shared" si="10"/>
        <v>14</v>
      </c>
      <c r="I33" s="123">
        <f t="shared" si="14"/>
        <v>-2260607.1882033879</v>
      </c>
      <c r="J33" s="58">
        <f t="shared" si="1"/>
        <v>1767659.2253617882</v>
      </c>
      <c r="K33" s="51">
        <f t="shared" si="11"/>
        <v>492947.96284159971</v>
      </c>
      <c r="L33" s="51">
        <f t="shared" si="2"/>
        <v>193489531.93282977</v>
      </c>
      <c r="M33" s="58">
        <f t="shared" si="3"/>
        <v>0</v>
      </c>
      <c r="N33" s="58">
        <f t="shared" ca="1" si="4"/>
        <v>-46167.830215169786</v>
      </c>
      <c r="O33" s="58">
        <f t="shared" si="5"/>
        <v>-198000</v>
      </c>
      <c r="P33" s="121">
        <f t="shared" si="15"/>
        <v>14</v>
      </c>
      <c r="Q33" s="124">
        <f t="shared" ca="1" si="12"/>
        <v>-2504775.0184185575</v>
      </c>
      <c r="R33" s="46"/>
      <c r="W33" s="65"/>
      <c r="X33" s="72"/>
      <c r="Y33" s="66"/>
      <c r="Z33" s="46"/>
      <c r="AA33" s="66"/>
      <c r="AB33" s="73">
        <v>33</v>
      </c>
      <c r="AC33" s="79">
        <v>2.1000000000000001E-2</v>
      </c>
      <c r="AD33" s="68">
        <f t="shared" si="0"/>
        <v>2.1000000000000001E-4</v>
      </c>
    </row>
    <row r="34" spans="1:30" x14ac:dyDescent="0.2">
      <c r="A34" s="69">
        <f t="shared" ca="1" si="6"/>
        <v>48945</v>
      </c>
      <c r="B34" s="70">
        <f t="shared" ca="1" si="7"/>
        <v>49</v>
      </c>
      <c r="C34" s="69">
        <f t="shared" ca="1" si="8"/>
        <v>44197</v>
      </c>
      <c r="D34" s="70">
        <f t="shared" ca="1" si="9"/>
        <v>36</v>
      </c>
      <c r="E34" s="69">
        <f t="shared" ca="1" si="13"/>
        <v>44390</v>
      </c>
      <c r="F34" s="65" t="s">
        <v>20</v>
      </c>
      <c r="G34" s="65"/>
      <c r="H34" s="122">
        <f t="shared" si="10"/>
        <v>15</v>
      </c>
      <c r="I34" s="123">
        <f t="shared" si="14"/>
        <v>-2260607.1882033879</v>
      </c>
      <c r="J34" s="58">
        <f t="shared" si="1"/>
        <v>1763167.2526093575</v>
      </c>
      <c r="K34" s="51">
        <f t="shared" si="11"/>
        <v>497439.93559403042</v>
      </c>
      <c r="L34" s="51">
        <f t="shared" si="2"/>
        <v>192992091.99723575</v>
      </c>
      <c r="M34" s="58">
        <f t="shared" si="3"/>
        <v>0</v>
      </c>
      <c r="N34" s="58">
        <f t="shared" ca="1" si="4"/>
        <v>-46050.508600013483</v>
      </c>
      <c r="O34" s="58">
        <f t="shared" si="5"/>
        <v>-198000</v>
      </c>
      <c r="P34" s="121">
        <f t="shared" si="15"/>
        <v>15</v>
      </c>
      <c r="Q34" s="124">
        <f t="shared" ca="1" si="12"/>
        <v>-2504657.6968034012</v>
      </c>
      <c r="R34" s="46"/>
      <c r="W34" s="65"/>
      <c r="X34" s="72"/>
      <c r="Y34" s="66"/>
      <c r="Z34" s="46"/>
      <c r="AA34" s="66"/>
      <c r="AB34" s="73">
        <v>34</v>
      </c>
      <c r="AC34" s="79">
        <v>2.1399999999999999E-2</v>
      </c>
      <c r="AD34" s="68">
        <f t="shared" si="0"/>
        <v>2.14E-4</v>
      </c>
    </row>
    <row r="35" spans="1:30" x14ac:dyDescent="0.2">
      <c r="A35" s="69">
        <f t="shared" ca="1" si="6"/>
        <v>49310</v>
      </c>
      <c r="B35" s="70">
        <f t="shared" ca="1" si="7"/>
        <v>50</v>
      </c>
      <c r="C35" s="69">
        <f t="shared" ca="1" si="8"/>
        <v>44197</v>
      </c>
      <c r="D35" s="70">
        <f t="shared" ca="1" si="9"/>
        <v>36</v>
      </c>
      <c r="E35" s="69">
        <f t="shared" ca="1" si="13"/>
        <v>44421</v>
      </c>
      <c r="F35" s="65" t="s">
        <v>21</v>
      </c>
      <c r="G35" s="65"/>
      <c r="H35" s="122">
        <f t="shared" si="10"/>
        <v>16</v>
      </c>
      <c r="I35" s="123">
        <f t="shared" si="14"/>
        <v>-2260607.1882033879</v>
      </c>
      <c r="J35" s="58">
        <f t="shared" si="1"/>
        <v>1758634.3468970011</v>
      </c>
      <c r="K35" s="51">
        <f t="shared" si="11"/>
        <v>501972.84130638675</v>
      </c>
      <c r="L35" s="51">
        <f t="shared" si="2"/>
        <v>192490119.15592936</v>
      </c>
      <c r="M35" s="58">
        <f t="shared" si="3"/>
        <v>0</v>
      </c>
      <c r="N35" s="58">
        <f t="shared" ca="1" si="4"/>
        <v>-45932.117895342111</v>
      </c>
      <c r="O35" s="58">
        <f t="shared" si="5"/>
        <v>-198000</v>
      </c>
      <c r="P35" s="121">
        <f t="shared" si="15"/>
        <v>16</v>
      </c>
      <c r="Q35" s="124">
        <f t="shared" ca="1" si="12"/>
        <v>-2504539.3060987298</v>
      </c>
      <c r="R35" s="46"/>
      <c r="W35" s="65"/>
      <c r="X35" s="72"/>
      <c r="Y35" s="66"/>
      <c r="Z35" s="46"/>
      <c r="AA35" s="66"/>
      <c r="AB35" s="73">
        <v>35</v>
      </c>
      <c r="AC35" s="78">
        <v>2.1899999999999999E-2</v>
      </c>
      <c r="AD35" s="68">
        <f t="shared" si="0"/>
        <v>2.1899999999999998E-4</v>
      </c>
    </row>
    <row r="36" spans="1:30" x14ac:dyDescent="0.2">
      <c r="A36" s="69">
        <f t="shared" ca="1" si="6"/>
        <v>49675</v>
      </c>
      <c r="B36" s="70">
        <f t="shared" ca="1" si="7"/>
        <v>51</v>
      </c>
      <c r="C36" s="69">
        <f t="shared" ca="1" si="8"/>
        <v>44197</v>
      </c>
      <c r="D36" s="70">
        <f t="shared" ca="1" si="9"/>
        <v>36</v>
      </c>
      <c r="E36" s="69">
        <f t="shared" ca="1" si="13"/>
        <v>44452</v>
      </c>
      <c r="F36" s="65" t="s">
        <v>22</v>
      </c>
      <c r="G36" s="65"/>
      <c r="H36" s="122">
        <f t="shared" si="10"/>
        <v>17</v>
      </c>
      <c r="I36" s="123">
        <f t="shared" si="14"/>
        <v>-2260607.1882033879</v>
      </c>
      <c r="J36" s="58">
        <f t="shared" si="1"/>
        <v>1754060.1352244134</v>
      </c>
      <c r="K36" s="51">
        <f t="shared" si="11"/>
        <v>506547.05297897453</v>
      </c>
      <c r="L36" s="51">
        <f t="shared" si="2"/>
        <v>191983572.10295039</v>
      </c>
      <c r="M36" s="58">
        <f t="shared" si="3"/>
        <v>0</v>
      </c>
      <c r="N36" s="58">
        <f t="shared" ca="1" si="4"/>
        <v>-45812.64835911119</v>
      </c>
      <c r="O36" s="58">
        <f t="shared" si="5"/>
        <v>-198000</v>
      </c>
      <c r="P36" s="121">
        <f t="shared" si="15"/>
        <v>17</v>
      </c>
      <c r="Q36" s="124">
        <f t="shared" ca="1" si="12"/>
        <v>-2504419.8365624989</v>
      </c>
      <c r="R36" s="46"/>
      <c r="W36" s="65"/>
      <c r="X36" s="72"/>
      <c r="Y36" s="66"/>
      <c r="Z36" s="46"/>
      <c r="AA36" s="66"/>
      <c r="AB36" s="73">
        <v>36</v>
      </c>
      <c r="AC36" s="78">
        <v>2.3800000000000002E-2</v>
      </c>
      <c r="AD36" s="68">
        <f t="shared" si="0"/>
        <v>2.3800000000000001E-4</v>
      </c>
    </row>
    <row r="37" spans="1:30" x14ac:dyDescent="0.2">
      <c r="A37" s="69">
        <f t="shared" ca="1" si="6"/>
        <v>50041</v>
      </c>
      <c r="B37" s="70">
        <f t="shared" ca="1" si="7"/>
        <v>52</v>
      </c>
      <c r="C37" s="69">
        <f t="shared" ca="1" si="8"/>
        <v>44197</v>
      </c>
      <c r="D37" s="70">
        <f t="shared" ca="1" si="9"/>
        <v>36</v>
      </c>
      <c r="E37" s="69">
        <f t="shared" ca="1" si="13"/>
        <v>44482</v>
      </c>
      <c r="F37" s="65" t="s">
        <v>23</v>
      </c>
      <c r="G37" s="65"/>
      <c r="H37" s="122">
        <f t="shared" si="10"/>
        <v>18</v>
      </c>
      <c r="I37" s="123">
        <f t="shared" si="14"/>
        <v>-2260607.1882033879</v>
      </c>
      <c r="J37" s="58">
        <f t="shared" si="1"/>
        <v>1749444.2411923355</v>
      </c>
      <c r="K37" s="51">
        <f t="shared" si="11"/>
        <v>511162.9470110524</v>
      </c>
      <c r="L37" s="51">
        <f t="shared" si="2"/>
        <v>191472409.15593934</v>
      </c>
      <c r="M37" s="58">
        <f t="shared" si="3"/>
        <v>0</v>
      </c>
      <c r="N37" s="58">
        <f t="shared" ca="1" si="4"/>
        <v>-45692.090160502194</v>
      </c>
      <c r="O37" s="58">
        <f t="shared" si="5"/>
        <v>-198000</v>
      </c>
      <c r="P37" s="121">
        <f t="shared" si="15"/>
        <v>18</v>
      </c>
      <c r="Q37" s="124">
        <f t="shared" ca="1" si="12"/>
        <v>-2504299.27836389</v>
      </c>
      <c r="R37" s="46"/>
      <c r="W37" s="65"/>
      <c r="X37" s="72"/>
      <c r="Y37" s="66"/>
      <c r="Z37" s="46"/>
      <c r="AA37" s="66"/>
      <c r="AB37" s="73">
        <v>37</v>
      </c>
      <c r="AC37" s="74">
        <v>2.4500000000000001E-2</v>
      </c>
      <c r="AD37" s="68">
        <f t="shared" si="0"/>
        <v>2.4499999999999999E-4</v>
      </c>
    </row>
    <row r="38" spans="1:30" x14ac:dyDescent="0.2">
      <c r="A38" s="69">
        <f t="shared" ca="1" si="6"/>
        <v>50406</v>
      </c>
      <c r="B38" s="70">
        <f t="shared" ca="1" si="7"/>
        <v>53</v>
      </c>
      <c r="C38" s="69">
        <f t="shared" ca="1" si="8"/>
        <v>44197</v>
      </c>
      <c r="D38" s="70">
        <f t="shared" ca="1" si="9"/>
        <v>36</v>
      </c>
      <c r="E38" s="69">
        <f t="shared" ca="1" si="13"/>
        <v>44513</v>
      </c>
      <c r="F38" s="65" t="s">
        <v>24</v>
      </c>
      <c r="G38" s="65"/>
      <c r="H38" s="122">
        <f t="shared" si="10"/>
        <v>19</v>
      </c>
      <c r="I38" s="123">
        <f t="shared" si="14"/>
        <v>-2260607.1882033879</v>
      </c>
      <c r="J38" s="58">
        <f t="shared" si="1"/>
        <v>1744786.2849715822</v>
      </c>
      <c r="K38" s="51">
        <f t="shared" si="11"/>
        <v>515820.90323180566</v>
      </c>
      <c r="L38" s="51">
        <f t="shared" si="2"/>
        <v>190956588.25270754</v>
      </c>
      <c r="M38" s="58">
        <f t="shared" si="3"/>
        <v>0</v>
      </c>
      <c r="N38" s="58">
        <f t="shared" ca="1" si="4"/>
        <v>-45570.433379113565</v>
      </c>
      <c r="O38" s="58">
        <f t="shared" si="5"/>
        <v>-198000</v>
      </c>
      <c r="P38" s="121">
        <f t="shared" si="15"/>
        <v>19</v>
      </c>
      <c r="Q38" s="124">
        <f t="shared" ca="1" si="12"/>
        <v>-2504177.6215825016</v>
      </c>
      <c r="R38" s="46"/>
      <c r="W38" s="65"/>
      <c r="X38" s="72"/>
      <c r="Y38" s="66"/>
      <c r="Z38" s="46"/>
      <c r="AA38" s="66"/>
      <c r="AB38" s="73">
        <v>38</v>
      </c>
      <c r="AC38" s="74">
        <v>2.5100000000000001E-2</v>
      </c>
      <c r="AD38" s="68">
        <f t="shared" si="0"/>
        <v>2.5100000000000003E-4</v>
      </c>
    </row>
    <row r="39" spans="1:30" x14ac:dyDescent="0.2">
      <c r="A39" s="69">
        <f t="shared" ca="1" si="6"/>
        <v>50771</v>
      </c>
      <c r="B39" s="70">
        <f t="shared" ca="1" si="7"/>
        <v>54</v>
      </c>
      <c r="C39" s="69">
        <f t="shared" ca="1" si="8"/>
        <v>44197</v>
      </c>
      <c r="D39" s="70">
        <f t="shared" ca="1" si="9"/>
        <v>36</v>
      </c>
      <c r="E39" s="69">
        <f t="shared" ca="1" si="13"/>
        <v>44543</v>
      </c>
      <c r="F39" s="65" t="s">
        <v>25</v>
      </c>
      <c r="G39" s="65"/>
      <c r="H39" s="122">
        <f t="shared" si="10"/>
        <v>20</v>
      </c>
      <c r="I39" s="123">
        <f t="shared" si="14"/>
        <v>-2260607.1882033879</v>
      </c>
      <c r="J39" s="58">
        <f t="shared" si="1"/>
        <v>1740085.8832717868</v>
      </c>
      <c r="K39" s="51">
        <f t="shared" si="11"/>
        <v>520521.30493160104</v>
      </c>
      <c r="L39" s="51">
        <f t="shared" si="2"/>
        <v>190436066.94777593</v>
      </c>
      <c r="M39" s="58">
        <f t="shared" si="3"/>
        <v>0</v>
      </c>
      <c r="N39" s="58">
        <f t="shared" ca="1" si="4"/>
        <v>-45447.668004144398</v>
      </c>
      <c r="O39" s="58">
        <f t="shared" si="5"/>
        <v>-198000</v>
      </c>
      <c r="P39" s="121">
        <f t="shared" si="15"/>
        <v>20</v>
      </c>
      <c r="Q39" s="124">
        <f t="shared" ca="1" si="12"/>
        <v>-2504054.8562075323</v>
      </c>
      <c r="R39" s="46"/>
      <c r="W39" s="65"/>
      <c r="X39" s="72"/>
      <c r="Y39" s="66"/>
      <c r="Z39" s="46"/>
      <c r="AA39" s="66"/>
      <c r="AB39" s="73">
        <v>39</v>
      </c>
      <c r="AC39" s="78">
        <v>2.58E-2</v>
      </c>
      <c r="AD39" s="68">
        <f t="shared" si="0"/>
        <v>2.5799999999999998E-4</v>
      </c>
    </row>
    <row r="40" spans="1:30" x14ac:dyDescent="0.2">
      <c r="A40" s="69">
        <f t="shared" ca="1" si="6"/>
        <v>51136</v>
      </c>
      <c r="B40" s="70">
        <f t="shared" ca="1" si="7"/>
        <v>55</v>
      </c>
      <c r="C40" s="69">
        <f t="shared" ca="1" si="8"/>
        <v>44562</v>
      </c>
      <c r="D40" s="70">
        <f t="shared" ca="1" si="9"/>
        <v>37</v>
      </c>
      <c r="E40" s="69">
        <f t="shared" ca="1" si="13"/>
        <v>44574</v>
      </c>
      <c r="F40" s="65" t="s">
        <v>26</v>
      </c>
      <c r="G40" s="65"/>
      <c r="H40" s="122">
        <f t="shared" si="10"/>
        <v>21</v>
      </c>
      <c r="I40" s="123">
        <f t="shared" si="14"/>
        <v>-2260607.1882033879</v>
      </c>
      <c r="J40" s="58">
        <f t="shared" si="1"/>
        <v>1735342.649309861</v>
      </c>
      <c r="K40" s="51">
        <f t="shared" si="11"/>
        <v>525264.53889352689</v>
      </c>
      <c r="L40" s="51">
        <f t="shared" si="2"/>
        <v>189910802.40888241</v>
      </c>
      <c r="M40" s="58">
        <f t="shared" si="3"/>
        <v>0</v>
      </c>
      <c r="N40" s="58">
        <f t="shared" ca="1" si="4"/>
        <v>-46656.836402205103</v>
      </c>
      <c r="O40" s="58">
        <f t="shared" si="5"/>
        <v>-198000</v>
      </c>
      <c r="P40" s="121">
        <f t="shared" si="15"/>
        <v>21</v>
      </c>
      <c r="Q40" s="124">
        <f t="shared" ca="1" si="12"/>
        <v>-2505264.0246055932</v>
      </c>
      <c r="R40" s="46"/>
      <c r="W40" s="65"/>
      <c r="X40" s="72"/>
      <c r="Y40" s="66"/>
      <c r="Z40" s="46"/>
      <c r="AA40" s="66"/>
      <c r="AB40" s="73">
        <v>40</v>
      </c>
      <c r="AC40" s="74">
        <v>2.6599999999999999E-2</v>
      </c>
      <c r="AD40" s="68">
        <f t="shared" si="0"/>
        <v>2.6599999999999996E-4</v>
      </c>
    </row>
    <row r="41" spans="1:30" x14ac:dyDescent="0.2">
      <c r="A41" s="69">
        <f t="shared" ca="1" si="6"/>
        <v>51502</v>
      </c>
      <c r="B41" s="70">
        <f t="shared" ca="1" si="7"/>
        <v>56</v>
      </c>
      <c r="C41" s="69">
        <f t="shared" ca="1" si="8"/>
        <v>44562</v>
      </c>
      <c r="D41" s="70">
        <f t="shared" ca="1" si="9"/>
        <v>37</v>
      </c>
      <c r="E41" s="69">
        <f t="shared" ca="1" si="13"/>
        <v>44605</v>
      </c>
      <c r="F41" s="65" t="s">
        <v>27</v>
      </c>
      <c r="G41" s="65"/>
      <c r="H41" s="122">
        <f t="shared" si="10"/>
        <v>22</v>
      </c>
      <c r="I41" s="123">
        <f t="shared" si="14"/>
        <v>-2260607.1882033879</v>
      </c>
      <c r="J41" s="58">
        <f t="shared" si="1"/>
        <v>1730556.1927781687</v>
      </c>
      <c r="K41" s="51">
        <f t="shared" si="11"/>
        <v>530050.99542521918</v>
      </c>
      <c r="L41" s="51">
        <f t="shared" si="2"/>
        <v>189380751.41345719</v>
      </c>
      <c r="M41" s="58">
        <f t="shared" si="3"/>
        <v>0</v>
      </c>
      <c r="N41" s="58">
        <f t="shared" ca="1" si="4"/>
        <v>-46528.146590176191</v>
      </c>
      <c r="O41" s="58">
        <f t="shared" si="5"/>
        <v>-198000</v>
      </c>
      <c r="P41" s="121">
        <f t="shared" si="15"/>
        <v>22</v>
      </c>
      <c r="Q41" s="124">
        <f t="shared" ca="1" si="12"/>
        <v>-2505135.3347935639</v>
      </c>
      <c r="R41" s="46"/>
      <c r="W41" s="65"/>
      <c r="X41" s="72"/>
      <c r="Y41" s="66"/>
      <c r="Z41" s="46"/>
      <c r="AA41" s="66"/>
      <c r="AB41" s="73">
        <v>41</v>
      </c>
      <c r="AC41" s="74">
        <v>2.7099999999999999E-2</v>
      </c>
      <c r="AD41" s="68">
        <f t="shared" si="0"/>
        <v>2.7099999999999997E-4</v>
      </c>
    </row>
    <row r="42" spans="1:30" x14ac:dyDescent="0.2">
      <c r="A42" s="69">
        <f t="shared" ca="1" si="6"/>
        <v>51867</v>
      </c>
      <c r="B42" s="70">
        <f t="shared" ca="1" si="7"/>
        <v>57</v>
      </c>
      <c r="C42" s="69">
        <f t="shared" ca="1" si="8"/>
        <v>44562</v>
      </c>
      <c r="D42" s="70">
        <f t="shared" ca="1" si="9"/>
        <v>37</v>
      </c>
      <c r="E42" s="69">
        <f t="shared" ca="1" si="13"/>
        <v>44633</v>
      </c>
      <c r="F42" s="65" t="s">
        <v>28</v>
      </c>
      <c r="G42" s="65"/>
      <c r="H42" s="122">
        <f t="shared" si="10"/>
        <v>23</v>
      </c>
      <c r="I42" s="123">
        <f t="shared" si="14"/>
        <v>-2260607.1882033879</v>
      </c>
      <c r="J42" s="58">
        <f t="shared" si="1"/>
        <v>1725726.1198124064</v>
      </c>
      <c r="K42" s="51">
        <f t="shared" si="11"/>
        <v>534881.06839098153</v>
      </c>
      <c r="L42" s="51">
        <f t="shared" si="2"/>
        <v>188845870.34506619</v>
      </c>
      <c r="M42" s="58">
        <f t="shared" si="3"/>
        <v>0</v>
      </c>
      <c r="N42" s="58">
        <f t="shared" ca="1" si="4"/>
        <v>-46398.284096297008</v>
      </c>
      <c r="O42" s="58">
        <f t="shared" si="5"/>
        <v>-198000</v>
      </c>
      <c r="P42" s="121">
        <f t="shared" si="15"/>
        <v>23</v>
      </c>
      <c r="Q42" s="124">
        <f t="shared" ca="1" si="12"/>
        <v>-2505005.4722996848</v>
      </c>
      <c r="R42" s="46"/>
      <c r="W42" s="65" t="s">
        <v>99</v>
      </c>
      <c r="X42" s="72"/>
      <c r="Y42" s="66"/>
      <c r="Z42" s="46"/>
      <c r="AA42" s="66"/>
      <c r="AB42" s="73">
        <v>42</v>
      </c>
      <c r="AC42" s="74">
        <v>3.3799999999999997E-2</v>
      </c>
      <c r="AD42" s="68">
        <f t="shared" si="0"/>
        <v>3.3799999999999998E-4</v>
      </c>
    </row>
    <row r="43" spans="1:30" x14ac:dyDescent="0.2">
      <c r="A43" s="69">
        <f t="shared" ca="1" si="6"/>
        <v>52232</v>
      </c>
      <c r="B43" s="70">
        <f t="shared" ca="1" si="7"/>
        <v>58</v>
      </c>
      <c r="C43" s="69">
        <f t="shared" ca="1" si="8"/>
        <v>44562</v>
      </c>
      <c r="D43" s="70">
        <f t="shared" ca="1" si="9"/>
        <v>37</v>
      </c>
      <c r="E43" s="69">
        <f t="shared" ca="1" si="13"/>
        <v>44664</v>
      </c>
      <c r="F43" s="65" t="s">
        <v>29</v>
      </c>
      <c r="G43" s="65"/>
      <c r="H43" s="122">
        <f t="shared" si="10"/>
        <v>24</v>
      </c>
      <c r="I43" s="123">
        <f t="shared" si="14"/>
        <v>-2260607.1882033879</v>
      </c>
      <c r="J43" s="58">
        <f t="shared" si="1"/>
        <v>1720852.0329591956</v>
      </c>
      <c r="K43" s="51">
        <f t="shared" si="11"/>
        <v>539755.15524419234</v>
      </c>
      <c r="L43" s="51">
        <f t="shared" si="2"/>
        <v>188306115.18982199</v>
      </c>
      <c r="M43" s="58">
        <f t="shared" si="3"/>
        <v>0</v>
      </c>
      <c r="N43" s="58">
        <f t="shared" ca="1" si="4"/>
        <v>-46267.238234541212</v>
      </c>
      <c r="O43" s="58">
        <f t="shared" si="5"/>
        <v>-198000</v>
      </c>
      <c r="P43" s="121">
        <f t="shared" si="15"/>
        <v>24</v>
      </c>
      <c r="Q43" s="124">
        <f t="shared" ca="1" si="12"/>
        <v>-2504874.4264379293</v>
      </c>
      <c r="R43" s="46">
        <f>+AVERAGE(L31:L42)</f>
        <v>191700938.33812776</v>
      </c>
      <c r="S43" s="46">
        <f ca="1">+SUM(Q32:Q43)</f>
        <v>-30056094.152772151</v>
      </c>
      <c r="T43" s="46">
        <f>+SUM(J32:J43)</f>
        <v>20962424.999174237</v>
      </c>
      <c r="U43" s="46">
        <f>+-SUM(M32:M43)</f>
        <v>0</v>
      </c>
      <c r="V43" s="46">
        <f>+SUM(K32:K43)</f>
        <v>6164861.2592664203</v>
      </c>
      <c r="W43" s="46">
        <f>+U43+T43</f>
        <v>20962424.999174237</v>
      </c>
      <c r="X43" s="76">
        <f>+W43/R43</f>
        <v>0.10934962124285534</v>
      </c>
      <c r="Y43" s="76">
        <f>+X43/12</f>
        <v>9.1124684369046118E-3</v>
      </c>
      <c r="Z43" s="77">
        <f>+(1+Y43)^(12)-1</f>
        <v>0.11500000000000155</v>
      </c>
      <c r="AA43" s="66"/>
      <c r="AB43" s="73">
        <v>43</v>
      </c>
      <c r="AC43" s="74">
        <v>3.27E-2</v>
      </c>
      <c r="AD43" s="68">
        <f t="shared" si="0"/>
        <v>3.2699999999999998E-4</v>
      </c>
    </row>
    <row r="44" spans="1:30" x14ac:dyDescent="0.2">
      <c r="C44" s="69">
        <f t="shared" ca="1" si="8"/>
        <v>44562</v>
      </c>
      <c r="D44" s="70">
        <f t="shared" ca="1" si="9"/>
        <v>37</v>
      </c>
      <c r="E44" s="69">
        <f t="shared" ca="1" si="13"/>
        <v>44694</v>
      </c>
      <c r="F44" s="65" t="s">
        <v>30</v>
      </c>
      <c r="G44" s="65"/>
      <c r="H44" s="122">
        <f t="shared" si="10"/>
        <v>25</v>
      </c>
      <c r="I44" s="123">
        <f t="shared" si="14"/>
        <v>-2260607.1882033879</v>
      </c>
      <c r="J44" s="58">
        <f t="shared" si="1"/>
        <v>1715933.5311433764</v>
      </c>
      <c r="K44" s="51">
        <f t="shared" si="11"/>
        <v>544673.65706001152</v>
      </c>
      <c r="L44" s="51">
        <f t="shared" si="2"/>
        <v>187761441.53276199</v>
      </c>
      <c r="M44" s="58">
        <f t="shared" si="3"/>
        <v>0</v>
      </c>
      <c r="N44" s="58">
        <f t="shared" ca="1" si="4"/>
        <v>-46134.998221506386</v>
      </c>
      <c r="O44" s="58">
        <f t="shared" si="5"/>
        <v>-198000</v>
      </c>
      <c r="P44" s="121">
        <f t="shared" si="15"/>
        <v>25</v>
      </c>
      <c r="Q44" s="124">
        <f t="shared" ca="1" si="12"/>
        <v>-2504742.1864248943</v>
      </c>
      <c r="R44" s="46"/>
      <c r="W44" s="65"/>
      <c r="X44" s="72"/>
      <c r="Y44" s="66"/>
      <c r="Z44" s="46"/>
      <c r="AA44" s="66"/>
      <c r="AB44" s="73">
        <v>44</v>
      </c>
      <c r="AC44" s="74">
        <v>3.4099999999999998E-2</v>
      </c>
      <c r="AD44" s="68">
        <f t="shared" si="0"/>
        <v>3.4099999999999999E-4</v>
      </c>
    </row>
    <row r="45" spans="1:30" x14ac:dyDescent="0.2">
      <c r="C45" s="69">
        <f t="shared" ca="1" si="8"/>
        <v>44562</v>
      </c>
      <c r="D45" s="70">
        <f t="shared" ca="1" si="9"/>
        <v>37</v>
      </c>
      <c r="E45" s="69">
        <f t="shared" ca="1" si="13"/>
        <v>44725</v>
      </c>
      <c r="F45" s="65" t="s">
        <v>31</v>
      </c>
      <c r="G45" s="65"/>
      <c r="H45" s="122">
        <f t="shared" si="10"/>
        <v>26</v>
      </c>
      <c r="I45" s="123">
        <f t="shared" si="14"/>
        <v>-2260607.1882033879</v>
      </c>
      <c r="J45" s="58">
        <f t="shared" si="1"/>
        <v>1710970.2096350037</v>
      </c>
      <c r="K45" s="51">
        <f t="shared" si="11"/>
        <v>549636.97856838419</v>
      </c>
      <c r="L45" s="51">
        <f t="shared" si="2"/>
        <v>187211804.55419362</v>
      </c>
      <c r="M45" s="58">
        <f t="shared" si="3"/>
        <v>0</v>
      </c>
      <c r="N45" s="58">
        <f t="shared" ca="1" si="4"/>
        <v>-46001.553175526686</v>
      </c>
      <c r="O45" s="58">
        <f t="shared" si="5"/>
        <v>-198000</v>
      </c>
      <c r="P45" s="121">
        <f t="shared" si="15"/>
        <v>26</v>
      </c>
      <c r="Q45" s="124">
        <f t="shared" ca="1" si="12"/>
        <v>-2504608.7413789146</v>
      </c>
      <c r="R45" s="46"/>
      <c r="W45" s="65"/>
      <c r="X45" s="72"/>
      <c r="Y45" s="66"/>
      <c r="Z45" s="46"/>
      <c r="AA45" s="66"/>
      <c r="AB45" s="73">
        <v>45</v>
      </c>
      <c r="AC45" s="74">
        <v>3.5799999999999998E-2</v>
      </c>
      <c r="AD45" s="68">
        <f t="shared" si="0"/>
        <v>3.5799999999999997E-4</v>
      </c>
    </row>
    <row r="46" spans="1:30" x14ac:dyDescent="0.2">
      <c r="C46" s="69">
        <f t="shared" ca="1" si="8"/>
        <v>44562</v>
      </c>
      <c r="D46" s="70">
        <f t="shared" ca="1" si="9"/>
        <v>37</v>
      </c>
      <c r="E46" s="69">
        <f t="shared" ca="1" si="13"/>
        <v>44755</v>
      </c>
      <c r="F46" s="65" t="s">
        <v>32</v>
      </c>
      <c r="G46" s="65"/>
      <c r="H46" s="122">
        <f t="shared" si="10"/>
        <v>27</v>
      </c>
      <c r="I46" s="123">
        <f t="shared" si="14"/>
        <v>-2260607.1882033879</v>
      </c>
      <c r="J46" s="58">
        <f t="shared" si="1"/>
        <v>1705961.6600160438</v>
      </c>
      <c r="K46" s="51">
        <f t="shared" si="11"/>
        <v>554645.52818734408</v>
      </c>
      <c r="L46" s="51">
        <f t="shared" si="2"/>
        <v>186657159.02600628</v>
      </c>
      <c r="M46" s="58">
        <f t="shared" si="3"/>
        <v>0</v>
      </c>
      <c r="N46" s="58">
        <f t="shared" ca="1" si="4"/>
        <v>-45866.892115777431</v>
      </c>
      <c r="O46" s="58">
        <f t="shared" si="5"/>
        <v>-198000</v>
      </c>
      <c r="P46" s="121">
        <f t="shared" si="15"/>
        <v>27</v>
      </c>
      <c r="Q46" s="124">
        <f t="shared" ca="1" si="12"/>
        <v>-2504474.0803191653</v>
      </c>
      <c r="R46" s="46"/>
      <c r="W46" s="65"/>
      <c r="X46" s="72"/>
      <c r="Y46" s="66"/>
      <c r="Z46" s="46"/>
      <c r="AA46" s="66"/>
      <c r="AB46" s="73">
        <v>46</v>
      </c>
      <c r="AC46" s="74">
        <v>3.8100000000000002E-2</v>
      </c>
      <c r="AD46" s="68">
        <f t="shared" si="0"/>
        <v>3.8100000000000005E-4</v>
      </c>
    </row>
    <row r="47" spans="1:30" x14ac:dyDescent="0.2">
      <c r="C47" s="69">
        <f t="shared" ca="1" si="8"/>
        <v>44562</v>
      </c>
      <c r="D47" s="70">
        <f t="shared" ca="1" si="9"/>
        <v>37</v>
      </c>
      <c r="E47" s="69">
        <f t="shared" ca="1" si="13"/>
        <v>44786</v>
      </c>
      <c r="F47" s="65" t="s">
        <v>33</v>
      </c>
      <c r="G47" s="65"/>
      <c r="H47" s="122">
        <f t="shared" si="10"/>
        <v>28</v>
      </c>
      <c r="I47" s="123">
        <f t="shared" si="14"/>
        <v>-2260607.1882033879</v>
      </c>
      <c r="J47" s="58">
        <f t="shared" si="1"/>
        <v>1700907.4701467664</v>
      </c>
      <c r="K47" s="51">
        <f t="shared" si="11"/>
        <v>559699.7180566215</v>
      </c>
      <c r="L47" s="51">
        <f t="shared" si="2"/>
        <v>186097459.30794966</v>
      </c>
      <c r="M47" s="58">
        <f t="shared" si="3"/>
        <v>0</v>
      </c>
      <c r="N47" s="58">
        <f t="shared" ca="1" si="4"/>
        <v>-45731.003961371534</v>
      </c>
      <c r="O47" s="58">
        <f t="shared" si="5"/>
        <v>-198000</v>
      </c>
      <c r="P47" s="121">
        <f t="shared" si="15"/>
        <v>28</v>
      </c>
      <c r="Q47" s="124">
        <f t="shared" ca="1" si="12"/>
        <v>-2504338.1921647596</v>
      </c>
      <c r="R47" s="46"/>
      <c r="W47" s="65"/>
      <c r="X47" s="72"/>
      <c r="Y47" s="66"/>
      <c r="Z47" s="46"/>
      <c r="AA47" s="66"/>
      <c r="AB47" s="73">
        <v>47</v>
      </c>
      <c r="AC47" s="74">
        <v>4.1099999999999998E-2</v>
      </c>
      <c r="AD47" s="68">
        <f t="shared" si="0"/>
        <v>4.1099999999999996E-4</v>
      </c>
    </row>
    <row r="48" spans="1:30" x14ac:dyDescent="0.2">
      <c r="C48" s="69">
        <f t="shared" ca="1" si="8"/>
        <v>44562</v>
      </c>
      <c r="D48" s="70">
        <f t="shared" ca="1" si="9"/>
        <v>37</v>
      </c>
      <c r="E48" s="69">
        <f t="shared" ca="1" si="13"/>
        <v>44817</v>
      </c>
      <c r="F48" s="65" t="s">
        <v>34</v>
      </c>
      <c r="G48" s="65"/>
      <c r="H48" s="122">
        <f t="shared" si="10"/>
        <v>29</v>
      </c>
      <c r="I48" s="123">
        <f t="shared" si="14"/>
        <v>-2260607.1882033879</v>
      </c>
      <c r="J48" s="58">
        <f t="shared" si="1"/>
        <v>1695807.224131831</v>
      </c>
      <c r="K48" s="51">
        <f t="shared" si="11"/>
        <v>564799.96407155693</v>
      </c>
      <c r="L48" s="51">
        <f t="shared" si="2"/>
        <v>185532659.34387809</v>
      </c>
      <c r="M48" s="58">
        <f t="shared" si="3"/>
        <v>0</v>
      </c>
      <c r="N48" s="58">
        <f t="shared" ca="1" si="4"/>
        <v>-45593.877530447666</v>
      </c>
      <c r="O48" s="58">
        <f t="shared" si="5"/>
        <v>-198000</v>
      </c>
      <c r="P48" s="121">
        <f t="shared" si="15"/>
        <v>29</v>
      </c>
      <c r="Q48" s="124">
        <f t="shared" ca="1" si="12"/>
        <v>-2504201.0657338356</v>
      </c>
      <c r="R48" s="46"/>
      <c r="W48" s="65"/>
      <c r="X48" s="72"/>
      <c r="Y48" s="66"/>
      <c r="Z48" s="46"/>
      <c r="AA48" s="66"/>
      <c r="AB48" s="73">
        <v>48</v>
      </c>
      <c r="AC48" s="74">
        <v>4.48E-2</v>
      </c>
      <c r="AD48" s="68">
        <f t="shared" si="0"/>
        <v>4.4799999999999999E-4</v>
      </c>
    </row>
    <row r="49" spans="3:30" x14ac:dyDescent="0.2">
      <c r="C49" s="69">
        <f t="shared" ca="1" si="8"/>
        <v>44562</v>
      </c>
      <c r="D49" s="70">
        <f t="shared" ca="1" si="9"/>
        <v>37</v>
      </c>
      <c r="E49" s="69">
        <f t="shared" ca="1" si="13"/>
        <v>44847</v>
      </c>
      <c r="F49" s="65" t="s">
        <v>35</v>
      </c>
      <c r="G49" s="65"/>
      <c r="H49" s="122">
        <f t="shared" si="10"/>
        <v>30</v>
      </c>
      <c r="I49" s="123">
        <f t="shared" si="14"/>
        <v>-2260607.1882033879</v>
      </c>
      <c r="J49" s="58">
        <f t="shared" si="1"/>
        <v>1690660.502286064</v>
      </c>
      <c r="K49" s="51">
        <f t="shared" si="11"/>
        <v>569946.68591732392</v>
      </c>
      <c r="L49" s="51">
        <f t="shared" si="2"/>
        <v>184962712.65796077</v>
      </c>
      <c r="M49" s="58">
        <f t="shared" si="3"/>
        <v>0</v>
      </c>
      <c r="N49" s="58">
        <f t="shared" ca="1" si="4"/>
        <v>-45455.50153925013</v>
      </c>
      <c r="O49" s="58">
        <f t="shared" si="5"/>
        <v>-198000</v>
      </c>
      <c r="P49" s="121">
        <f t="shared" si="15"/>
        <v>30</v>
      </c>
      <c r="Q49" s="124">
        <f t="shared" ca="1" si="12"/>
        <v>-2504062.6897426378</v>
      </c>
      <c r="R49" s="46"/>
      <c r="W49" s="65"/>
      <c r="X49" s="72"/>
      <c r="Y49" s="66"/>
      <c r="Z49" s="46"/>
      <c r="AA49" s="66"/>
      <c r="AB49" s="73">
        <v>49</v>
      </c>
      <c r="AC49" s="74">
        <v>4.8899999999999999E-2</v>
      </c>
      <c r="AD49" s="68">
        <f t="shared" si="0"/>
        <v>4.8899999999999996E-4</v>
      </c>
    </row>
    <row r="50" spans="3:30" x14ac:dyDescent="0.2">
      <c r="C50" s="69">
        <f t="shared" ca="1" si="8"/>
        <v>44562</v>
      </c>
      <c r="D50" s="70">
        <f t="shared" ca="1" si="9"/>
        <v>37</v>
      </c>
      <c r="E50" s="69">
        <f t="shared" ca="1" si="13"/>
        <v>44878</v>
      </c>
      <c r="F50" s="65" t="s">
        <v>36</v>
      </c>
      <c r="G50" s="65"/>
      <c r="H50" s="122">
        <f t="shared" si="10"/>
        <v>31</v>
      </c>
      <c r="I50" s="123">
        <f t="shared" si="14"/>
        <v>-2260607.1882033879</v>
      </c>
      <c r="J50" s="58">
        <f t="shared" si="1"/>
        <v>1685466.881099924</v>
      </c>
      <c r="K50" s="51">
        <f t="shared" si="11"/>
        <v>575140.30710346391</v>
      </c>
      <c r="L50" s="51">
        <f t="shared" si="2"/>
        <v>184387572.35085732</v>
      </c>
      <c r="M50" s="58">
        <f t="shared" si="3"/>
        <v>0</v>
      </c>
      <c r="N50" s="58">
        <f t="shared" ca="1" si="4"/>
        <v>-45315.864601200388</v>
      </c>
      <c r="O50" s="58">
        <f t="shared" si="5"/>
        <v>-198000</v>
      </c>
      <c r="P50" s="121">
        <f t="shared" si="15"/>
        <v>31</v>
      </c>
      <c r="Q50" s="124">
        <f t="shared" ca="1" si="12"/>
        <v>-2503923.0528045883</v>
      </c>
      <c r="R50" s="46"/>
      <c r="W50" s="65"/>
      <c r="X50" s="72"/>
      <c r="Y50" s="66"/>
      <c r="Z50" s="46"/>
      <c r="AA50" s="66"/>
      <c r="AB50" s="73">
        <v>50</v>
      </c>
      <c r="AC50" s="74">
        <v>5.3400000000000003E-2</v>
      </c>
      <c r="AD50" s="68">
        <f t="shared" si="0"/>
        <v>5.3400000000000008E-4</v>
      </c>
    </row>
    <row r="51" spans="3:30" x14ac:dyDescent="0.2">
      <c r="C51" s="69">
        <f t="shared" ca="1" si="8"/>
        <v>44562</v>
      </c>
      <c r="D51" s="70">
        <f t="shared" ca="1" si="9"/>
        <v>37</v>
      </c>
      <c r="E51" s="69">
        <f t="shared" ca="1" si="13"/>
        <v>44908</v>
      </c>
      <c r="F51" s="65" t="s">
        <v>37</v>
      </c>
      <c r="G51" s="65"/>
      <c r="H51" s="122">
        <f t="shared" si="10"/>
        <v>32</v>
      </c>
      <c r="I51" s="123">
        <f t="shared" si="14"/>
        <v>-2260607.1882033879</v>
      </c>
      <c r="J51" s="58">
        <f t="shared" si="1"/>
        <v>1680225.933204652</v>
      </c>
      <c r="K51" s="51">
        <f t="shared" si="11"/>
        <v>580381.25499873585</v>
      </c>
      <c r="L51" s="51">
        <f t="shared" si="2"/>
        <v>183807191.09585857</v>
      </c>
      <c r="M51" s="58">
        <f t="shared" si="3"/>
        <v>0</v>
      </c>
      <c r="N51" s="58">
        <f t="shared" ca="1" si="4"/>
        <v>-45174.955225960039</v>
      </c>
      <c r="O51" s="58">
        <f t="shared" si="5"/>
        <v>-198000</v>
      </c>
      <c r="P51" s="121">
        <f t="shared" si="15"/>
        <v>32</v>
      </c>
      <c r="Q51" s="124">
        <f t="shared" ca="1" si="12"/>
        <v>-2503782.1434293478</v>
      </c>
      <c r="R51" s="46"/>
      <c r="W51" s="65"/>
      <c r="X51" s="72"/>
      <c r="Y51" s="66"/>
      <c r="Z51" s="46"/>
      <c r="AA51" s="66"/>
      <c r="AB51" s="73">
        <v>51</v>
      </c>
      <c r="AC51" s="78">
        <v>5.8200000000000002E-2</v>
      </c>
      <c r="AD51" s="68">
        <f t="shared" si="0"/>
        <v>5.8200000000000005E-4</v>
      </c>
    </row>
    <row r="52" spans="3:30" x14ac:dyDescent="0.2">
      <c r="C52" s="69">
        <f t="shared" ca="1" si="8"/>
        <v>44927</v>
      </c>
      <c r="D52" s="70">
        <f t="shared" ca="1" si="9"/>
        <v>38</v>
      </c>
      <c r="E52" s="69">
        <f t="shared" ca="1" si="13"/>
        <v>44939</v>
      </c>
      <c r="F52" s="65" t="s">
        <v>38</v>
      </c>
      <c r="G52" s="65"/>
      <c r="H52" s="122">
        <f t="shared" si="10"/>
        <v>33</v>
      </c>
      <c r="I52" s="123">
        <f t="shared" si="14"/>
        <v>-2260607.1882033879</v>
      </c>
      <c r="J52" s="58">
        <f t="shared" si="1"/>
        <v>1674937.227337105</v>
      </c>
      <c r="K52" s="51">
        <f t="shared" si="11"/>
        <v>585669.96086628293</v>
      </c>
      <c r="L52" s="51">
        <f t="shared" si="2"/>
        <v>183221521.1349923</v>
      </c>
      <c r="M52" s="58">
        <f t="shared" si="3"/>
        <v>0</v>
      </c>
      <c r="N52" s="58">
        <f t="shared" ca="1" si="4"/>
        <v>-46135.604965060505</v>
      </c>
      <c r="O52" s="58">
        <f t="shared" si="5"/>
        <v>-198000</v>
      </c>
      <c r="P52" s="121">
        <f t="shared" si="15"/>
        <v>33</v>
      </c>
      <c r="Q52" s="124">
        <f t="shared" ca="1" si="12"/>
        <v>-2504742.7931684484</v>
      </c>
      <c r="R52" s="46"/>
      <c r="W52" s="65"/>
      <c r="X52" s="72"/>
      <c r="Y52" s="66"/>
      <c r="Z52" s="46"/>
      <c r="AA52" s="66"/>
      <c r="AB52" s="73">
        <v>52</v>
      </c>
      <c r="AC52" s="78">
        <v>6.2899999999999998E-2</v>
      </c>
      <c r="AD52" s="68">
        <f t="shared" si="0"/>
        <v>6.29E-4</v>
      </c>
    </row>
    <row r="53" spans="3:30" x14ac:dyDescent="0.2">
      <c r="C53" s="69">
        <f t="shared" ca="1" si="8"/>
        <v>44927</v>
      </c>
      <c r="D53" s="70">
        <f t="shared" ca="1" si="9"/>
        <v>38</v>
      </c>
      <c r="E53" s="69">
        <f t="shared" ca="1" si="13"/>
        <v>44970</v>
      </c>
      <c r="F53" s="65" t="s">
        <v>39</v>
      </c>
      <c r="G53" s="65"/>
      <c r="H53" s="122">
        <f t="shared" si="10"/>
        <v>34</v>
      </c>
      <c r="I53" s="123">
        <f t="shared" si="14"/>
        <v>-2260607.1882033879</v>
      </c>
      <c r="J53" s="58">
        <f t="shared" si="1"/>
        <v>1669600.328304268</v>
      </c>
      <c r="K53" s="51">
        <f t="shared" si="11"/>
        <v>591006.85989911994</v>
      </c>
      <c r="L53" s="51">
        <f t="shared" si="2"/>
        <v>182630514.27509317</v>
      </c>
      <c r="M53" s="58">
        <f t="shared" si="3"/>
        <v>0</v>
      </c>
      <c r="N53" s="58">
        <f t="shared" ca="1" si="4"/>
        <v>-45988.601804883074</v>
      </c>
      <c r="O53" s="58">
        <f t="shared" si="5"/>
        <v>-198000</v>
      </c>
      <c r="P53" s="121">
        <f t="shared" si="15"/>
        <v>34</v>
      </c>
      <c r="Q53" s="124">
        <f t="shared" ca="1" si="12"/>
        <v>-2504595.7900082711</v>
      </c>
      <c r="R53" s="46"/>
      <c r="W53" s="65"/>
      <c r="X53" s="72"/>
      <c r="Y53" s="66"/>
      <c r="Z53" s="46"/>
      <c r="AA53" s="66"/>
      <c r="AB53" s="73">
        <v>53</v>
      </c>
      <c r="AC53" s="78">
        <v>6.7400000000000002E-2</v>
      </c>
      <c r="AD53" s="68">
        <f t="shared" si="0"/>
        <v>6.7400000000000001E-4</v>
      </c>
    </row>
    <row r="54" spans="3:30" x14ac:dyDescent="0.2">
      <c r="C54" s="69">
        <f t="shared" ca="1" si="8"/>
        <v>44927</v>
      </c>
      <c r="D54" s="70">
        <f t="shared" ca="1" si="9"/>
        <v>38</v>
      </c>
      <c r="E54" s="69">
        <f t="shared" ca="1" si="13"/>
        <v>44998</v>
      </c>
      <c r="F54" s="65" t="s">
        <v>40</v>
      </c>
      <c r="G54" s="65"/>
      <c r="H54" s="122">
        <f t="shared" si="10"/>
        <v>35</v>
      </c>
      <c r="I54" s="123">
        <f t="shared" si="14"/>
        <v>-2260607.1882033879</v>
      </c>
      <c r="J54" s="58">
        <f t="shared" si="1"/>
        <v>1664214.7969474429</v>
      </c>
      <c r="K54" s="51">
        <f t="shared" si="11"/>
        <v>596392.39125594497</v>
      </c>
      <c r="L54" s="51">
        <f t="shared" si="2"/>
        <v>182034121.88383722</v>
      </c>
      <c r="M54" s="58">
        <f t="shared" si="3"/>
        <v>0</v>
      </c>
      <c r="N54" s="58">
        <f t="shared" ca="1" si="4"/>
        <v>-45840.25908304839</v>
      </c>
      <c r="O54" s="58">
        <f t="shared" si="5"/>
        <v>-198000</v>
      </c>
      <c r="P54" s="121">
        <f t="shared" si="15"/>
        <v>35</v>
      </c>
      <c r="Q54" s="124">
        <f t="shared" ca="1" si="12"/>
        <v>-2504447.4472864363</v>
      </c>
      <c r="R54" s="46"/>
      <c r="W54" s="65" t="s">
        <v>99</v>
      </c>
      <c r="X54" s="72"/>
      <c r="Y54" s="66"/>
      <c r="Z54" s="46"/>
      <c r="AA54" s="66"/>
      <c r="AB54" s="73">
        <v>54</v>
      </c>
      <c r="AC54" s="78">
        <v>6.83E-2</v>
      </c>
      <c r="AD54" s="68">
        <f t="shared" si="0"/>
        <v>6.8300000000000001E-4</v>
      </c>
    </row>
    <row r="55" spans="3:30" x14ac:dyDescent="0.2">
      <c r="C55" s="69">
        <f t="shared" ca="1" si="8"/>
        <v>44927</v>
      </c>
      <c r="D55" s="70">
        <f t="shared" ca="1" si="9"/>
        <v>38</v>
      </c>
      <c r="E55" s="69">
        <f t="shared" ca="1" si="13"/>
        <v>45029</v>
      </c>
      <c r="F55" s="65" t="s">
        <v>41</v>
      </c>
      <c r="G55" s="65"/>
      <c r="H55" s="122">
        <f t="shared" si="10"/>
        <v>36</v>
      </c>
      <c r="I55" s="123">
        <f t="shared" si="14"/>
        <v>-2260607.1882033879</v>
      </c>
      <c r="J55" s="58">
        <f t="shared" si="1"/>
        <v>1658780.1901061132</v>
      </c>
      <c r="K55" s="51">
        <f t="shared" si="11"/>
        <v>601826.99809727469</v>
      </c>
      <c r="L55" s="51">
        <f t="shared" si="2"/>
        <v>181432294.88573995</v>
      </c>
      <c r="M55" s="58">
        <f t="shared" si="3"/>
        <v>0</v>
      </c>
      <c r="N55" s="58">
        <f t="shared" ca="1" si="4"/>
        <v>-45690.564592843148</v>
      </c>
      <c r="O55" s="58">
        <f t="shared" si="5"/>
        <v>-198000</v>
      </c>
      <c r="P55" s="121">
        <f t="shared" si="15"/>
        <v>36</v>
      </c>
      <c r="Q55" s="124">
        <f t="shared" ca="1" si="12"/>
        <v>-2504297.7527962308</v>
      </c>
      <c r="R55" s="46">
        <f>+AVERAGE(L43:L54)</f>
        <v>185217522.69610095</v>
      </c>
      <c r="S55" s="46">
        <f ca="1">+SUM(Q44:Q55)</f>
        <v>-30052215.935257524</v>
      </c>
      <c r="T55" s="46">
        <f>+SUM(J44:J55)</f>
        <v>20253465.954358589</v>
      </c>
      <c r="U55" s="46">
        <f>+-SUM(M44:M55)</f>
        <v>0</v>
      </c>
      <c r="V55" s="46">
        <f>+SUM(K44:K55)</f>
        <v>6873820.304082064</v>
      </c>
      <c r="W55" s="46">
        <f>+U55+T55</f>
        <v>20253465.954358589</v>
      </c>
      <c r="X55" s="76">
        <f>+W55/R55</f>
        <v>0.10934962124285527</v>
      </c>
      <c r="Y55" s="76">
        <f>+X55/12</f>
        <v>9.1124684369046065E-3</v>
      </c>
      <c r="Z55" s="77">
        <f>+(1+Y55)^(12)-1</f>
        <v>0.11500000000000155</v>
      </c>
      <c r="AA55" s="66"/>
      <c r="AB55" s="73">
        <v>55</v>
      </c>
      <c r="AC55" s="78">
        <v>7.17E-2</v>
      </c>
      <c r="AD55" s="68">
        <f t="shared" si="0"/>
        <v>7.1699999999999997E-4</v>
      </c>
    </row>
    <row r="56" spans="3:30" x14ac:dyDescent="0.2">
      <c r="C56" s="69">
        <f t="shared" ca="1" si="8"/>
        <v>44927</v>
      </c>
      <c r="D56" s="70">
        <f t="shared" ca="1" si="9"/>
        <v>38</v>
      </c>
      <c r="E56" s="69">
        <f t="shared" ca="1" si="13"/>
        <v>45059</v>
      </c>
      <c r="F56" s="65" t="s">
        <v>42</v>
      </c>
      <c r="G56" s="65"/>
      <c r="H56" s="122">
        <f t="shared" si="10"/>
        <v>37</v>
      </c>
      <c r="I56" s="123">
        <f t="shared" si="14"/>
        <v>-2260607.1882033879</v>
      </c>
      <c r="J56" s="58">
        <f t="shared" si="1"/>
        <v>1653296.0605814748</v>
      </c>
      <c r="K56" s="51">
        <f t="shared" si="11"/>
        <v>607311.1276219131</v>
      </c>
      <c r="L56" s="51">
        <f t="shared" si="2"/>
        <v>180824983.75811803</v>
      </c>
      <c r="M56" s="58">
        <f t="shared" si="3"/>
        <v>0</v>
      </c>
      <c r="N56" s="58">
        <f t="shared" ca="1" si="4"/>
        <v>-45539.506016320731</v>
      </c>
      <c r="O56" s="58">
        <f t="shared" si="5"/>
        <v>-198000</v>
      </c>
      <c r="P56" s="121">
        <f t="shared" si="15"/>
        <v>37</v>
      </c>
      <c r="Q56" s="124">
        <f t="shared" ca="1" si="12"/>
        <v>-2504146.6942197084</v>
      </c>
      <c r="R56" s="46"/>
      <c r="W56" s="65"/>
      <c r="X56" s="72"/>
      <c r="Y56" s="66"/>
      <c r="Z56" s="46"/>
      <c r="AA56" s="66"/>
      <c r="AB56" s="73">
        <v>56</v>
      </c>
      <c r="AC56" s="78">
        <v>7.4499999999999997E-2</v>
      </c>
      <c r="AD56" s="68">
        <f t="shared" si="0"/>
        <v>7.45E-4</v>
      </c>
    </row>
    <row r="57" spans="3:30" x14ac:dyDescent="0.2">
      <c r="C57" s="69">
        <f t="shared" ca="1" si="8"/>
        <v>44927</v>
      </c>
      <c r="D57" s="70">
        <f t="shared" ca="1" si="9"/>
        <v>38</v>
      </c>
      <c r="E57" s="69">
        <f t="shared" ca="1" si="13"/>
        <v>45090</v>
      </c>
      <c r="F57" s="65" t="s">
        <v>43</v>
      </c>
      <c r="G57" s="65"/>
      <c r="H57" s="122">
        <f t="shared" si="10"/>
        <v>38</v>
      </c>
      <c r="I57" s="123">
        <f t="shared" si="14"/>
        <v>-2260607.1882033879</v>
      </c>
      <c r="J57" s="58">
        <f t="shared" si="1"/>
        <v>1647761.9570996391</v>
      </c>
      <c r="K57" s="51">
        <f t="shared" si="11"/>
        <v>612845.23110374878</v>
      </c>
      <c r="L57" s="51">
        <f t="shared" si="2"/>
        <v>180212138.52701429</v>
      </c>
      <c r="M57" s="58">
        <f t="shared" si="3"/>
        <v>0</v>
      </c>
      <c r="N57" s="58">
        <f t="shared" ca="1" si="4"/>
        <v>-45387.070923287632</v>
      </c>
      <c r="O57" s="58">
        <f t="shared" si="5"/>
        <v>-198000</v>
      </c>
      <c r="P57" s="121">
        <f t="shared" si="15"/>
        <v>38</v>
      </c>
      <c r="Q57" s="124">
        <f t="shared" ca="1" si="12"/>
        <v>-2503994.2591266753</v>
      </c>
      <c r="R57" s="46"/>
      <c r="W57" s="65"/>
      <c r="X57" s="72"/>
      <c r="Y57" s="66"/>
      <c r="Z57" s="46"/>
      <c r="AA57" s="66"/>
      <c r="AB57" s="73">
        <v>57</v>
      </c>
      <c r="AC57" s="78">
        <v>7.6499999999999999E-2</v>
      </c>
      <c r="AD57" s="68">
        <f t="shared" si="0"/>
        <v>7.6499999999999995E-4</v>
      </c>
    </row>
    <row r="58" spans="3:30" x14ac:dyDescent="0.2">
      <c r="C58" s="69">
        <f t="shared" ca="1" si="8"/>
        <v>44927</v>
      </c>
      <c r="D58" s="70">
        <f t="shared" ca="1" si="9"/>
        <v>38</v>
      </c>
      <c r="E58" s="69">
        <f t="shared" ca="1" si="13"/>
        <v>45120</v>
      </c>
      <c r="F58" s="65" t="s">
        <v>44</v>
      </c>
      <c r="G58" s="65"/>
      <c r="H58" s="122">
        <f t="shared" si="10"/>
        <v>39</v>
      </c>
      <c r="I58" s="123">
        <f t="shared" si="14"/>
        <v>-2260607.1882033879</v>
      </c>
      <c r="J58" s="58">
        <f t="shared" si="1"/>
        <v>1642177.4242744986</v>
      </c>
      <c r="K58" s="51">
        <f t="shared" si="11"/>
        <v>618429.7639288893</v>
      </c>
      <c r="L58" s="51">
        <f t="shared" si="2"/>
        <v>179593708.7630854</v>
      </c>
      <c r="M58" s="58">
        <f t="shared" si="3"/>
        <v>0</v>
      </c>
      <c r="N58" s="58">
        <f t="shared" ca="1" si="4"/>
        <v>-45233.246770280588</v>
      </c>
      <c r="O58" s="58">
        <f t="shared" si="5"/>
        <v>-198000</v>
      </c>
      <c r="P58" s="121">
        <f t="shared" si="15"/>
        <v>39</v>
      </c>
      <c r="Q58" s="124">
        <f t="shared" ca="1" si="12"/>
        <v>-2503840.4349736683</v>
      </c>
      <c r="R58" s="46"/>
      <c r="W58" s="65"/>
      <c r="X58" s="72"/>
      <c r="Y58" s="66"/>
      <c r="Z58" s="46"/>
      <c r="AA58" s="66"/>
      <c r="AB58" s="73">
        <v>58</v>
      </c>
      <c r="AC58" s="78">
        <v>7.9200000000000007E-2</v>
      </c>
      <c r="AD58" s="68">
        <f t="shared" si="0"/>
        <v>7.9200000000000006E-4</v>
      </c>
    </row>
    <row r="59" spans="3:30" x14ac:dyDescent="0.2">
      <c r="C59" s="69">
        <f t="shared" ca="1" si="8"/>
        <v>44927</v>
      </c>
      <c r="D59" s="70">
        <f t="shared" ca="1" si="9"/>
        <v>38</v>
      </c>
      <c r="E59" s="69">
        <f t="shared" ca="1" si="13"/>
        <v>45151</v>
      </c>
      <c r="F59" s="65" t="s">
        <v>45</v>
      </c>
      <c r="G59" s="65"/>
      <c r="H59" s="122">
        <f t="shared" si="10"/>
        <v>40</v>
      </c>
      <c r="I59" s="123">
        <f t="shared" si="14"/>
        <v>-2260607.1882033879</v>
      </c>
      <c r="J59" s="58">
        <f t="shared" si="1"/>
        <v>1636542.0025702543</v>
      </c>
      <c r="K59" s="51">
        <f t="shared" si="11"/>
        <v>624065.18563313363</v>
      </c>
      <c r="L59" s="51">
        <f t="shared" si="2"/>
        <v>178969643.57745227</v>
      </c>
      <c r="M59" s="58">
        <f t="shared" si="3"/>
        <v>0</v>
      </c>
      <c r="N59" s="58">
        <f t="shared" ca="1" si="4"/>
        <v>-45078.020899534436</v>
      </c>
      <c r="O59" s="58">
        <f t="shared" si="5"/>
        <v>-198000</v>
      </c>
      <c r="P59" s="121">
        <f t="shared" si="15"/>
        <v>40</v>
      </c>
      <c r="Q59" s="124">
        <f t="shared" ca="1" si="12"/>
        <v>-2503685.2091029221</v>
      </c>
      <c r="R59" s="46"/>
      <c r="W59" s="65"/>
      <c r="X59" s="72"/>
      <c r="Y59" s="66"/>
      <c r="Z59" s="46"/>
      <c r="AA59" s="66"/>
      <c r="AB59" s="73">
        <v>59</v>
      </c>
      <c r="AC59" s="78">
        <v>8.1500000000000003E-2</v>
      </c>
      <c r="AD59" s="68">
        <f t="shared" si="0"/>
        <v>8.1500000000000008E-4</v>
      </c>
    </row>
    <row r="60" spans="3:30" x14ac:dyDescent="0.2">
      <c r="C60" s="69">
        <f t="shared" ca="1" si="8"/>
        <v>44927</v>
      </c>
      <c r="D60" s="70">
        <f t="shared" ca="1" si="9"/>
        <v>38</v>
      </c>
      <c r="E60" s="69">
        <f t="shared" ca="1" si="13"/>
        <v>45182</v>
      </c>
      <c r="F60" s="65" t="s">
        <v>46</v>
      </c>
      <c r="G60" s="65"/>
      <c r="H60" s="122">
        <f t="shared" si="10"/>
        <v>41</v>
      </c>
      <c r="I60" s="123">
        <f t="shared" si="14"/>
        <v>-2260607.1882033879</v>
      </c>
      <c r="J60" s="58">
        <f t="shared" si="1"/>
        <v>1630855.2282636014</v>
      </c>
      <c r="K60" s="51">
        <f t="shared" si="11"/>
        <v>629751.95993978647</v>
      </c>
      <c r="L60" s="51">
        <f t="shared" si="2"/>
        <v>178339891.61751249</v>
      </c>
      <c r="M60" s="58">
        <f t="shared" si="3"/>
        <v>0</v>
      </c>
      <c r="N60" s="58">
        <f t="shared" ca="1" si="4"/>
        <v>-44921.380537940524</v>
      </c>
      <c r="O60" s="58">
        <f t="shared" si="5"/>
        <v>-198000</v>
      </c>
      <c r="P60" s="121">
        <f t="shared" si="15"/>
        <v>41</v>
      </c>
      <c r="Q60" s="124">
        <f t="shared" ca="1" si="12"/>
        <v>-2503528.5687413285</v>
      </c>
      <c r="R60" s="46"/>
      <c r="W60" s="65"/>
      <c r="X60" s="72"/>
      <c r="Y60" s="66"/>
      <c r="Z60" s="46"/>
      <c r="AA60" s="66"/>
      <c r="AB60" s="73">
        <v>60</v>
      </c>
      <c r="AC60" s="78">
        <v>8.6099999999999996E-2</v>
      </c>
      <c r="AD60" s="68">
        <f t="shared" si="0"/>
        <v>8.61E-4</v>
      </c>
    </row>
    <row r="61" spans="3:30" x14ac:dyDescent="0.2">
      <c r="C61" s="69">
        <f t="shared" ca="1" si="8"/>
        <v>44927</v>
      </c>
      <c r="D61" s="70">
        <f t="shared" ca="1" si="9"/>
        <v>38</v>
      </c>
      <c r="E61" s="69">
        <f t="shared" ca="1" si="13"/>
        <v>45212</v>
      </c>
      <c r="F61" s="65" t="s">
        <v>47</v>
      </c>
      <c r="G61" s="65"/>
      <c r="H61" s="122">
        <f t="shared" si="10"/>
        <v>42</v>
      </c>
      <c r="I61" s="123">
        <f t="shared" si="14"/>
        <v>-2260607.1882033879</v>
      </c>
      <c r="J61" s="58">
        <f t="shared" si="1"/>
        <v>1625116.6334055713</v>
      </c>
      <c r="K61" s="51">
        <f t="shared" si="11"/>
        <v>635490.55479781656</v>
      </c>
      <c r="L61" s="51">
        <f t="shared" si="2"/>
        <v>177704401.06271467</v>
      </c>
      <c r="M61" s="58">
        <f t="shared" si="3"/>
        <v>0</v>
      </c>
      <c r="N61" s="58">
        <f t="shared" ca="1" si="4"/>
        <v>-44763.31279599564</v>
      </c>
      <c r="O61" s="58">
        <f t="shared" si="5"/>
        <v>-198000</v>
      </c>
      <c r="P61" s="121">
        <f t="shared" si="15"/>
        <v>42</v>
      </c>
      <c r="Q61" s="124">
        <f t="shared" ca="1" si="12"/>
        <v>-2503370.5009993836</v>
      </c>
      <c r="R61" s="46"/>
      <c r="W61" s="65"/>
      <c r="X61" s="72"/>
      <c r="Y61" s="66"/>
      <c r="Z61" s="46"/>
      <c r="AA61" s="66"/>
      <c r="AB61" s="73">
        <v>61</v>
      </c>
      <c r="AC61" s="75">
        <v>9.5299999999999996E-2</v>
      </c>
      <c r="AD61" s="68">
        <f t="shared" si="0"/>
        <v>9.5299999999999996E-4</v>
      </c>
    </row>
    <row r="62" spans="3:30" x14ac:dyDescent="0.2">
      <c r="C62" s="69">
        <f t="shared" ca="1" si="8"/>
        <v>44927</v>
      </c>
      <c r="D62" s="70">
        <f t="shared" ca="1" si="9"/>
        <v>38</v>
      </c>
      <c r="E62" s="69">
        <f t="shared" ca="1" si="13"/>
        <v>45243</v>
      </c>
      <c r="F62" s="65" t="s">
        <v>48</v>
      </c>
      <c r="G62" s="65"/>
      <c r="H62" s="122">
        <f t="shared" si="10"/>
        <v>43</v>
      </c>
      <c r="I62" s="123">
        <f t="shared" si="14"/>
        <v>-2260607.1882033879</v>
      </c>
      <c r="J62" s="58">
        <f t="shared" si="1"/>
        <v>1619325.7457830252</v>
      </c>
      <c r="K62" s="51">
        <f t="shared" si="11"/>
        <v>641281.44242036273</v>
      </c>
      <c r="L62" s="51">
        <f t="shared" si="2"/>
        <v>177063119.6202943</v>
      </c>
      <c r="M62" s="58">
        <f t="shared" si="3"/>
        <v>0</v>
      </c>
      <c r="N62" s="58">
        <f t="shared" ca="1" si="4"/>
        <v>-44603.804666741387</v>
      </c>
      <c r="O62" s="58">
        <f t="shared" si="5"/>
        <v>-198000</v>
      </c>
      <c r="P62" s="121">
        <f t="shared" si="15"/>
        <v>43</v>
      </c>
      <c r="Q62" s="124">
        <f t="shared" ca="1" si="12"/>
        <v>-2503210.9928701292</v>
      </c>
      <c r="R62" s="46"/>
      <c r="W62" s="65"/>
      <c r="X62" s="72"/>
      <c r="Y62" s="66"/>
      <c r="Z62" s="46"/>
      <c r="AA62" s="66"/>
      <c r="AB62" s="73">
        <v>62</v>
      </c>
      <c r="AC62" s="75">
        <v>0.1041</v>
      </c>
      <c r="AD62" s="68">
        <f t="shared" si="0"/>
        <v>1.041E-3</v>
      </c>
    </row>
    <row r="63" spans="3:30" x14ac:dyDescent="0.2">
      <c r="C63" s="69">
        <f t="shared" ca="1" si="8"/>
        <v>44927</v>
      </c>
      <c r="D63" s="70">
        <f t="shared" ca="1" si="9"/>
        <v>38</v>
      </c>
      <c r="E63" s="69">
        <f t="shared" ca="1" si="13"/>
        <v>45273</v>
      </c>
      <c r="F63" s="65" t="s">
        <v>49</v>
      </c>
      <c r="G63" s="65"/>
      <c r="H63" s="122">
        <f t="shared" si="10"/>
        <v>44</v>
      </c>
      <c r="I63" s="123">
        <f t="shared" si="14"/>
        <v>-2260607.1882033879</v>
      </c>
      <c r="J63" s="58">
        <f t="shared" si="1"/>
        <v>1613482.0888797969</v>
      </c>
      <c r="K63" s="51">
        <f t="shared" si="11"/>
        <v>647125.09932359098</v>
      </c>
      <c r="L63" s="51">
        <f t="shared" si="2"/>
        <v>176415994.5209707</v>
      </c>
      <c r="M63" s="58">
        <f t="shared" si="3"/>
        <v>0</v>
      </c>
      <c r="N63" s="58">
        <f t="shared" ca="1" si="4"/>
        <v>-44442.843024693873</v>
      </c>
      <c r="O63" s="58">
        <f t="shared" si="5"/>
        <v>-198000</v>
      </c>
      <c r="P63" s="121">
        <f t="shared" si="15"/>
        <v>44</v>
      </c>
      <c r="Q63" s="124">
        <f t="shared" ca="1" si="12"/>
        <v>-2503050.0312280818</v>
      </c>
      <c r="R63" s="46"/>
      <c r="W63" s="65"/>
      <c r="X63" s="72"/>
      <c r="Y63" s="66"/>
      <c r="Z63" s="46"/>
      <c r="AA63" s="66"/>
      <c r="AB63" s="73">
        <v>63</v>
      </c>
      <c r="AC63" s="75">
        <v>0.1106</v>
      </c>
      <c r="AD63" s="68">
        <f t="shared" si="0"/>
        <v>1.106E-3</v>
      </c>
    </row>
    <row r="64" spans="3:30" x14ac:dyDescent="0.2">
      <c r="C64" s="69">
        <f t="shared" ca="1" si="8"/>
        <v>45292</v>
      </c>
      <c r="D64" s="70">
        <f t="shared" ca="1" si="9"/>
        <v>39</v>
      </c>
      <c r="E64" s="69">
        <f t="shared" ca="1" si="13"/>
        <v>45304</v>
      </c>
      <c r="F64" s="65" t="s">
        <v>50</v>
      </c>
      <c r="G64" s="65"/>
      <c r="H64" s="122">
        <f t="shared" si="10"/>
        <v>45</v>
      </c>
      <c r="I64" s="123">
        <f t="shared" si="14"/>
        <v>-2260607.1882033879</v>
      </c>
      <c r="J64" s="58">
        <f t="shared" si="1"/>
        <v>1607585.1818374819</v>
      </c>
      <c r="K64" s="51">
        <f t="shared" si="11"/>
        <v>653022.00636590598</v>
      </c>
      <c r="L64" s="51">
        <f t="shared" si="2"/>
        <v>175762972.51460481</v>
      </c>
      <c r="M64" s="58">
        <f t="shared" si="3"/>
        <v>0</v>
      </c>
      <c r="N64" s="58">
        <f t="shared" ca="1" si="4"/>
        <v>-45515.32658641044</v>
      </c>
      <c r="O64" s="58">
        <f t="shared" si="5"/>
        <v>-198000</v>
      </c>
      <c r="P64" s="121">
        <f t="shared" si="15"/>
        <v>45</v>
      </c>
      <c r="Q64" s="124">
        <f t="shared" ca="1" si="12"/>
        <v>-2504122.5147897983</v>
      </c>
      <c r="R64" s="46"/>
      <c r="W64" s="65"/>
      <c r="X64" s="72"/>
      <c r="Y64" s="66"/>
      <c r="Z64" s="46"/>
      <c r="AA64" s="66"/>
      <c r="AB64" s="73">
        <v>64</v>
      </c>
      <c r="AC64" s="75">
        <v>0.1225</v>
      </c>
      <c r="AD64" s="68">
        <f t="shared" si="0"/>
        <v>1.225E-3</v>
      </c>
    </row>
    <row r="65" spans="3:30" x14ac:dyDescent="0.2">
      <c r="C65" s="69">
        <f t="shared" ca="1" si="8"/>
        <v>45292</v>
      </c>
      <c r="D65" s="70">
        <f t="shared" ca="1" si="9"/>
        <v>39</v>
      </c>
      <c r="E65" s="69">
        <f t="shared" ca="1" si="13"/>
        <v>45335</v>
      </c>
      <c r="F65" s="65" t="s">
        <v>51</v>
      </c>
      <c r="G65" s="65"/>
      <c r="H65" s="122">
        <f t="shared" si="10"/>
        <v>46</v>
      </c>
      <c r="I65" s="123">
        <f t="shared" si="14"/>
        <v>-2260607.1882033879</v>
      </c>
      <c r="J65" s="58">
        <f t="shared" si="1"/>
        <v>1601634.5394158685</v>
      </c>
      <c r="K65" s="51">
        <f t="shared" si="11"/>
        <v>658972.64878751943</v>
      </c>
      <c r="L65" s="51">
        <f t="shared" si="2"/>
        <v>175103999.86581728</v>
      </c>
      <c r="M65" s="58">
        <f t="shared" si="3"/>
        <v>0</v>
      </c>
      <c r="N65" s="58">
        <f t="shared" ca="1" si="4"/>
        <v>-45346.846908768035</v>
      </c>
      <c r="O65" s="58">
        <f t="shared" si="5"/>
        <v>-198000</v>
      </c>
      <c r="P65" s="121">
        <f t="shared" si="15"/>
        <v>46</v>
      </c>
      <c r="Q65" s="124">
        <f t="shared" ca="1" si="12"/>
        <v>-2503954.0351121561</v>
      </c>
      <c r="R65" s="46"/>
      <c r="W65" s="65"/>
      <c r="X65" s="72"/>
      <c r="Y65" s="66"/>
      <c r="Z65" s="46"/>
      <c r="AA65" s="66"/>
      <c r="AB65" s="73">
        <v>65</v>
      </c>
      <c r="AC65" s="75">
        <v>0.1358</v>
      </c>
      <c r="AD65" s="68">
        <f t="shared" si="0"/>
        <v>1.358E-3</v>
      </c>
    </row>
    <row r="66" spans="3:30" x14ac:dyDescent="0.2">
      <c r="C66" s="69">
        <f t="shared" ca="1" si="8"/>
        <v>45292</v>
      </c>
      <c r="D66" s="70">
        <f t="shared" ca="1" si="9"/>
        <v>39</v>
      </c>
      <c r="E66" s="69">
        <f t="shared" ca="1" si="13"/>
        <v>45364</v>
      </c>
      <c r="F66" s="65" t="s">
        <v>52</v>
      </c>
      <c r="G66" s="65"/>
      <c r="H66" s="122">
        <f t="shared" si="10"/>
        <v>47</v>
      </c>
      <c r="I66" s="123">
        <f t="shared" si="14"/>
        <v>-2260607.1882033879</v>
      </c>
      <c r="J66" s="58">
        <f t="shared" si="1"/>
        <v>1595629.6719530087</v>
      </c>
      <c r="K66" s="51">
        <f t="shared" si="11"/>
        <v>664977.51625037915</v>
      </c>
      <c r="L66" s="51">
        <f t="shared" si="2"/>
        <v>174439022.34956691</v>
      </c>
      <c r="M66" s="58">
        <f t="shared" si="3"/>
        <v>0</v>
      </c>
      <c r="N66" s="58">
        <f t="shared" ca="1" si="4"/>
        <v>-45176.831965380858</v>
      </c>
      <c r="O66" s="58">
        <f t="shared" si="5"/>
        <v>-198000</v>
      </c>
      <c r="P66" s="121">
        <f t="shared" si="15"/>
        <v>47</v>
      </c>
      <c r="Q66" s="124">
        <f t="shared" ca="1" si="12"/>
        <v>-2503784.0201687687</v>
      </c>
      <c r="R66" s="46"/>
      <c r="W66" s="65" t="s">
        <v>99</v>
      </c>
      <c r="X66" s="72"/>
      <c r="Y66" s="66"/>
      <c r="Z66" s="46"/>
      <c r="AA66" s="66"/>
      <c r="AB66" s="73">
        <v>66</v>
      </c>
      <c r="AC66" s="75">
        <v>0.15049999999999999</v>
      </c>
      <c r="AD66" s="68">
        <f t="shared" si="0"/>
        <v>1.505E-3</v>
      </c>
    </row>
    <row r="67" spans="3:30" x14ac:dyDescent="0.2">
      <c r="C67" s="69">
        <f t="shared" ca="1" si="8"/>
        <v>45292</v>
      </c>
      <c r="D67" s="70">
        <f t="shared" ca="1" si="9"/>
        <v>39</v>
      </c>
      <c r="E67" s="69">
        <f t="shared" ca="1" si="13"/>
        <v>45395</v>
      </c>
      <c r="F67" s="65" t="s">
        <v>53</v>
      </c>
      <c r="G67" s="65"/>
      <c r="H67" s="122">
        <f t="shared" si="10"/>
        <v>48</v>
      </c>
      <c r="I67" s="123">
        <f t="shared" si="14"/>
        <v>-2260607.1882033879</v>
      </c>
      <c r="J67" s="58">
        <f t="shared" si="1"/>
        <v>1589570.0853249261</v>
      </c>
      <c r="K67" s="51">
        <f t="shared" si="11"/>
        <v>671037.10287846182</v>
      </c>
      <c r="L67" s="51">
        <f t="shared" si="2"/>
        <v>173767985.24668846</v>
      </c>
      <c r="M67" s="58">
        <f t="shared" si="3"/>
        <v>0</v>
      </c>
      <c r="N67" s="58">
        <f t="shared" ca="1" si="4"/>
        <v>-45005.267766188255</v>
      </c>
      <c r="O67" s="58">
        <f t="shared" si="5"/>
        <v>-198000</v>
      </c>
      <c r="P67" s="121">
        <f t="shared" si="15"/>
        <v>48</v>
      </c>
      <c r="Q67" s="124">
        <f t="shared" ca="1" si="12"/>
        <v>-2503612.4559695763</v>
      </c>
      <c r="R67" s="46">
        <f>+AVERAGE(L55:L66)</f>
        <v>177988514.25524092</v>
      </c>
      <c r="S67" s="46">
        <f ca="1">+SUM(Q56:Q67)</f>
        <v>-30044299.717302196</v>
      </c>
      <c r="T67" s="46">
        <f>+SUM(J56:J67)</f>
        <v>19462976.619389147</v>
      </c>
      <c r="U67" s="46">
        <f>+-SUM(M56:M67)</f>
        <v>0</v>
      </c>
      <c r="V67" s="46">
        <f>+SUM(K56:K67)</f>
        <v>7664309.6390515072</v>
      </c>
      <c r="W67" s="46">
        <f>+U67+T67</f>
        <v>19462976.619389147</v>
      </c>
      <c r="X67" s="76">
        <f>+W67/R67</f>
        <v>0.1093496212428553</v>
      </c>
      <c r="Y67" s="76">
        <f>+X67/12</f>
        <v>9.1124684369046083E-3</v>
      </c>
      <c r="Z67" s="77">
        <f>+(1+Y67)^(12)-1</f>
        <v>0.11500000000000155</v>
      </c>
      <c r="AA67" s="66"/>
      <c r="AB67" s="73">
        <v>67</v>
      </c>
      <c r="AC67" s="75">
        <v>0.1661</v>
      </c>
      <c r="AD67" s="68">
        <f t="shared" si="0"/>
        <v>1.6609999999999999E-3</v>
      </c>
    </row>
    <row r="68" spans="3:30" x14ac:dyDescent="0.2">
      <c r="C68" s="69">
        <f t="shared" ca="1" si="8"/>
        <v>45292</v>
      </c>
      <c r="D68" s="70">
        <f t="shared" ca="1" si="9"/>
        <v>39</v>
      </c>
      <c r="E68" s="69">
        <f t="shared" ca="1" si="13"/>
        <v>45425</v>
      </c>
      <c r="F68" s="65" t="s">
        <v>54</v>
      </c>
      <c r="G68" s="65"/>
      <c r="H68" s="122">
        <f t="shared" si="10"/>
        <v>49</v>
      </c>
      <c r="I68" s="123">
        <f t="shared" si="14"/>
        <v>-2260607.1882033879</v>
      </c>
      <c r="J68" s="58">
        <f t="shared" si="1"/>
        <v>1583455.2809049541</v>
      </c>
      <c r="K68" s="51">
        <f t="shared" si="11"/>
        <v>677151.90729843383</v>
      </c>
      <c r="L68" s="51">
        <f t="shared" si="2"/>
        <v>173090833.33939001</v>
      </c>
      <c r="M68" s="58">
        <f t="shared" si="3"/>
        <v>0</v>
      </c>
      <c r="N68" s="58">
        <f t="shared" ca="1" si="4"/>
        <v>-44832.140193645617</v>
      </c>
      <c r="O68" s="58">
        <f t="shared" si="5"/>
        <v>-198000</v>
      </c>
      <c r="P68" s="121">
        <f t="shared" si="15"/>
        <v>49</v>
      </c>
      <c r="Q68" s="124">
        <f t="shared" ca="1" si="12"/>
        <v>-2503439.3283970337</v>
      </c>
      <c r="R68" s="46"/>
      <c r="W68" s="65"/>
      <c r="X68" s="72"/>
      <c r="Y68" s="66"/>
      <c r="Z68" s="46"/>
      <c r="AA68" s="66"/>
      <c r="AB68" s="73">
        <v>68</v>
      </c>
      <c r="AC68" s="75">
        <v>0.18179999999999999</v>
      </c>
      <c r="AD68" s="68">
        <f t="shared" si="0"/>
        <v>1.818E-3</v>
      </c>
    </row>
    <row r="69" spans="3:30" x14ac:dyDescent="0.2">
      <c r="C69" s="69">
        <f t="shared" ca="1" si="8"/>
        <v>45292</v>
      </c>
      <c r="D69" s="70">
        <f t="shared" ca="1" si="9"/>
        <v>39</v>
      </c>
      <c r="E69" s="69">
        <f t="shared" ca="1" si="13"/>
        <v>45456</v>
      </c>
      <c r="F69" s="65" t="s">
        <v>55</v>
      </c>
      <c r="G69" s="65"/>
      <c r="H69" s="122">
        <f t="shared" si="10"/>
        <v>50</v>
      </c>
      <c r="I69" s="123">
        <f t="shared" si="14"/>
        <v>-2260607.1882033879</v>
      </c>
      <c r="J69" s="58">
        <f t="shared" si="1"/>
        <v>1577284.7555227072</v>
      </c>
      <c r="K69" s="51">
        <f t="shared" si="11"/>
        <v>683322.43268068065</v>
      </c>
      <c r="L69" s="51">
        <f t="shared" si="2"/>
        <v>172407510.90670934</v>
      </c>
      <c r="M69" s="58">
        <f t="shared" si="3"/>
        <v>0</v>
      </c>
      <c r="N69" s="58">
        <f t="shared" ca="1" si="4"/>
        <v>-44657.435001562619</v>
      </c>
      <c r="O69" s="58">
        <f t="shared" si="5"/>
        <v>-198000</v>
      </c>
      <c r="P69" s="121">
        <f t="shared" si="15"/>
        <v>50</v>
      </c>
      <c r="Q69" s="124">
        <f t="shared" ca="1" si="12"/>
        <v>-2503264.6232049507</v>
      </c>
      <c r="R69" s="46"/>
      <c r="W69" s="65"/>
      <c r="X69" s="72"/>
      <c r="Y69" s="66"/>
      <c r="Z69" s="46"/>
      <c r="AA69" s="66"/>
      <c r="AB69" s="73">
        <v>69</v>
      </c>
      <c r="AC69" s="75">
        <v>0.19750000000000001</v>
      </c>
      <c r="AD69" s="68">
        <f t="shared" si="0"/>
        <v>1.9750000000000002E-3</v>
      </c>
    </row>
    <row r="70" spans="3:30" x14ac:dyDescent="0.2">
      <c r="C70" s="69">
        <f t="shared" ca="1" si="8"/>
        <v>45292</v>
      </c>
      <c r="D70" s="70">
        <f t="shared" ca="1" si="9"/>
        <v>39</v>
      </c>
      <c r="E70" s="69">
        <f t="shared" ca="1" si="13"/>
        <v>45486</v>
      </c>
      <c r="F70" s="65" t="s">
        <v>56</v>
      </c>
      <c r="G70" s="65"/>
      <c r="H70" s="122">
        <f t="shared" si="10"/>
        <v>51</v>
      </c>
      <c r="I70" s="123">
        <f t="shared" si="14"/>
        <v>-2260607.1882033879</v>
      </c>
      <c r="J70" s="58">
        <f t="shared" si="1"/>
        <v>1571058.0014226758</v>
      </c>
      <c r="K70" s="51">
        <f t="shared" si="11"/>
        <v>689549.1867807121</v>
      </c>
      <c r="L70" s="51">
        <f t="shared" si="2"/>
        <v>171717961.71992862</v>
      </c>
      <c r="M70" s="58">
        <f t="shared" si="3"/>
        <v>0</v>
      </c>
      <c r="N70" s="58">
        <f t="shared" ca="1" si="4"/>
        <v>-44481.137813931011</v>
      </c>
      <c r="O70" s="58">
        <f t="shared" si="5"/>
        <v>-198000</v>
      </c>
      <c r="P70" s="121">
        <f t="shared" si="15"/>
        <v>51</v>
      </c>
      <c r="Q70" s="124">
        <f t="shared" ca="1" si="12"/>
        <v>-2503088.3260173188</v>
      </c>
      <c r="R70" s="46"/>
      <c r="W70" s="65"/>
      <c r="X70" s="72"/>
      <c r="Y70" s="66"/>
      <c r="Z70" s="46"/>
      <c r="AA70" s="66"/>
      <c r="AB70" s="73">
        <v>70</v>
      </c>
      <c r="AC70" s="75">
        <v>0.20860000000000001</v>
      </c>
      <c r="AD70" s="68">
        <f t="shared" si="0"/>
        <v>2.0860000000000002E-3</v>
      </c>
    </row>
    <row r="71" spans="3:30" x14ac:dyDescent="0.2">
      <c r="C71" s="69">
        <f t="shared" ca="1" si="8"/>
        <v>45292</v>
      </c>
      <c r="D71" s="70">
        <f t="shared" ca="1" si="9"/>
        <v>39</v>
      </c>
      <c r="E71" s="69">
        <f t="shared" ca="1" si="13"/>
        <v>45517</v>
      </c>
      <c r="F71" s="65" t="s">
        <v>57</v>
      </c>
      <c r="G71" s="65"/>
      <c r="H71" s="122">
        <f t="shared" si="10"/>
        <v>52</v>
      </c>
      <c r="I71" s="123">
        <f t="shared" si="14"/>
        <v>-2260607.1882033879</v>
      </c>
      <c r="J71" s="58">
        <f t="shared" si="1"/>
        <v>1564774.5062224434</v>
      </c>
      <c r="K71" s="51">
        <f t="shared" si="11"/>
        <v>695832.68198094447</v>
      </c>
      <c r="L71" s="51">
        <f t="shared" si="2"/>
        <v>171022129.03794768</v>
      </c>
      <c r="M71" s="58">
        <f t="shared" si="3"/>
        <v>0</v>
      </c>
      <c r="N71" s="58">
        <f t="shared" ca="1" si="4"/>
        <v>-44303.234123741582</v>
      </c>
      <c r="O71" s="58">
        <f t="shared" si="5"/>
        <v>-198000</v>
      </c>
      <c r="P71" s="121">
        <f t="shared" si="15"/>
        <v>52</v>
      </c>
      <c r="Q71" s="124">
        <f t="shared" ca="1" si="12"/>
        <v>-2502910.4223271296</v>
      </c>
      <c r="R71" s="46"/>
      <c r="W71" s="65"/>
      <c r="X71" s="72"/>
      <c r="Y71" s="66"/>
      <c r="Z71" s="46"/>
      <c r="AA71" s="66"/>
      <c r="AB71" s="73">
        <v>71</v>
      </c>
      <c r="AC71" s="75">
        <v>0.2261</v>
      </c>
      <c r="AD71" s="68">
        <f t="shared" si="0"/>
        <v>2.261E-3</v>
      </c>
    </row>
    <row r="72" spans="3:30" x14ac:dyDescent="0.2">
      <c r="C72" s="69">
        <f t="shared" ca="1" si="8"/>
        <v>45292</v>
      </c>
      <c r="D72" s="70">
        <f t="shared" ca="1" si="9"/>
        <v>39</v>
      </c>
      <c r="E72" s="69">
        <f t="shared" ca="1" si="13"/>
        <v>45548</v>
      </c>
      <c r="F72" s="65" t="s">
        <v>58</v>
      </c>
      <c r="G72" s="65"/>
      <c r="H72" s="122">
        <f t="shared" si="10"/>
        <v>53</v>
      </c>
      <c r="I72" s="123">
        <f t="shared" si="14"/>
        <v>-2260607.1882033879</v>
      </c>
      <c r="J72" s="58">
        <f t="shared" si="1"/>
        <v>1558433.7528705255</v>
      </c>
      <c r="K72" s="51">
        <f t="shared" si="11"/>
        <v>702173.43533286243</v>
      </c>
      <c r="L72" s="51">
        <f t="shared" si="2"/>
        <v>170319955.60261482</v>
      </c>
      <c r="M72" s="58">
        <f t="shared" si="3"/>
        <v>0</v>
      </c>
      <c r="N72" s="58">
        <f t="shared" ca="1" si="4"/>
        <v>-44123.709291790503</v>
      </c>
      <c r="O72" s="58">
        <f t="shared" si="5"/>
        <v>-198000</v>
      </c>
      <c r="P72" s="121">
        <f t="shared" si="15"/>
        <v>53</v>
      </c>
      <c r="Q72" s="124">
        <f t="shared" ca="1" si="12"/>
        <v>-2502730.8974951785</v>
      </c>
      <c r="R72" s="46"/>
      <c r="W72" s="65"/>
      <c r="X72" s="72"/>
      <c r="Y72" s="66"/>
      <c r="Z72" s="46"/>
      <c r="AA72" s="66"/>
      <c r="AB72" s="73">
        <v>72</v>
      </c>
      <c r="AC72" s="75">
        <v>0.24360000000000001</v>
      </c>
      <c r="AD72" s="68">
        <f t="shared" si="0"/>
        <v>2.4360000000000002E-3</v>
      </c>
    </row>
    <row r="73" spans="3:30" x14ac:dyDescent="0.2">
      <c r="C73" s="69">
        <f t="shared" ca="1" si="8"/>
        <v>45292</v>
      </c>
      <c r="D73" s="70">
        <f t="shared" ca="1" si="9"/>
        <v>39</v>
      </c>
      <c r="E73" s="69">
        <f t="shared" ca="1" si="13"/>
        <v>45578</v>
      </c>
      <c r="F73" s="65" t="s">
        <v>59</v>
      </c>
      <c r="G73" s="65"/>
      <c r="H73" s="122">
        <f t="shared" si="10"/>
        <v>54</v>
      </c>
      <c r="I73" s="123">
        <f t="shared" si="14"/>
        <v>-2260607.1882033879</v>
      </c>
      <c r="J73" s="58">
        <f t="shared" si="1"/>
        <v>1552035.2196038216</v>
      </c>
      <c r="K73" s="51">
        <f t="shared" si="11"/>
        <v>708571.96859956626</v>
      </c>
      <c r="L73" s="51">
        <f t="shared" si="2"/>
        <v>169611383.63401526</v>
      </c>
      <c r="M73" s="58">
        <f t="shared" si="3"/>
        <v>0</v>
      </c>
      <c r="N73" s="58">
        <f t="shared" ca="1" si="4"/>
        <v>-43942.548545474623</v>
      </c>
      <c r="O73" s="58">
        <f t="shared" si="5"/>
        <v>-198000</v>
      </c>
      <c r="P73" s="121">
        <f t="shared" si="15"/>
        <v>54</v>
      </c>
      <c r="Q73" s="124">
        <f t="shared" ca="1" si="12"/>
        <v>-2502549.7367488625</v>
      </c>
      <c r="R73" s="46"/>
      <c r="W73" s="65"/>
      <c r="X73" s="72"/>
      <c r="Y73" s="66"/>
      <c r="Z73" s="46"/>
      <c r="AA73" s="66"/>
      <c r="AB73" s="73">
        <v>73</v>
      </c>
      <c r="AC73" s="75">
        <v>0.26569999999999999</v>
      </c>
      <c r="AD73" s="68">
        <f t="shared" si="0"/>
        <v>2.6570000000000001E-3</v>
      </c>
    </row>
    <row r="74" spans="3:30" x14ac:dyDescent="0.2">
      <c r="C74" s="69">
        <f t="shared" ca="1" si="8"/>
        <v>45292</v>
      </c>
      <c r="D74" s="70">
        <f t="shared" ca="1" si="9"/>
        <v>39</v>
      </c>
      <c r="E74" s="69">
        <f t="shared" ca="1" si="13"/>
        <v>45609</v>
      </c>
      <c r="F74" s="65" t="s">
        <v>60</v>
      </c>
      <c r="G74" s="65"/>
      <c r="H74" s="122">
        <f t="shared" si="10"/>
        <v>55</v>
      </c>
      <c r="I74" s="123">
        <f t="shared" si="14"/>
        <v>-2260607.1882033879</v>
      </c>
      <c r="J74" s="58">
        <f t="shared" si="1"/>
        <v>1545578.379904683</v>
      </c>
      <c r="K74" s="51">
        <f t="shared" si="11"/>
        <v>715028.80829870491</v>
      </c>
      <c r="L74" s="51">
        <f t="shared" si="2"/>
        <v>168896354.82571656</v>
      </c>
      <c r="M74" s="58">
        <f t="shared" si="3"/>
        <v>0</v>
      </c>
      <c r="N74" s="58">
        <f t="shared" ca="1" si="4"/>
        <v>-43759.736977575936</v>
      </c>
      <c r="O74" s="58">
        <f t="shared" si="5"/>
        <v>-198000</v>
      </c>
      <c r="P74" s="121">
        <f t="shared" si="15"/>
        <v>55</v>
      </c>
      <c r="Q74" s="124">
        <f t="shared" ca="1" si="12"/>
        <v>-2502366.9251809637</v>
      </c>
      <c r="R74" s="46"/>
      <c r="W74" s="65"/>
      <c r="X74" s="72"/>
      <c r="Y74" s="66"/>
      <c r="Z74" s="46"/>
      <c r="AA74" s="66"/>
      <c r="AB74" s="73">
        <v>74</v>
      </c>
      <c r="AC74" s="75">
        <v>0.29580000000000001</v>
      </c>
      <c r="AD74" s="68">
        <f t="shared" si="0"/>
        <v>2.9580000000000001E-3</v>
      </c>
    </row>
    <row r="75" spans="3:30" x14ac:dyDescent="0.2">
      <c r="C75" s="69">
        <f t="shared" ca="1" si="8"/>
        <v>45292</v>
      </c>
      <c r="D75" s="70">
        <f t="shared" ca="1" si="9"/>
        <v>39</v>
      </c>
      <c r="E75" s="69">
        <f t="shared" ca="1" si="13"/>
        <v>45639</v>
      </c>
      <c r="F75" s="65" t="s">
        <v>61</v>
      </c>
      <c r="G75" s="65"/>
      <c r="H75" s="122">
        <f t="shared" si="10"/>
        <v>56</v>
      </c>
      <c r="I75" s="123">
        <f t="shared" si="14"/>
        <v>-2260607.1882033879</v>
      </c>
      <c r="J75" s="58">
        <f t="shared" si="1"/>
        <v>1539062.7024575835</v>
      </c>
      <c r="K75" s="51">
        <f t="shared" si="11"/>
        <v>721544.48574580438</v>
      </c>
      <c r="L75" s="51">
        <f t="shared" si="2"/>
        <v>168174810.33997074</v>
      </c>
      <c r="M75" s="58">
        <f t="shared" si="3"/>
        <v>0</v>
      </c>
      <c r="N75" s="58">
        <f t="shared" ca="1" si="4"/>
        <v>-43575.259545034867</v>
      </c>
      <c r="O75" s="58">
        <f t="shared" si="5"/>
        <v>-198000</v>
      </c>
      <c r="P75" s="121">
        <f t="shared" si="15"/>
        <v>56</v>
      </c>
      <c r="Q75" s="124">
        <f t="shared" ca="1" si="12"/>
        <v>-2502182.4477484226</v>
      </c>
      <c r="R75" s="46"/>
      <c r="W75" s="65"/>
      <c r="X75" s="72"/>
      <c r="Y75" s="66"/>
      <c r="Z75" s="46"/>
      <c r="AA75" s="66"/>
      <c r="AB75" s="73">
        <v>75</v>
      </c>
      <c r="AC75" s="75">
        <v>0.33129999999999998</v>
      </c>
      <c r="AD75" s="68">
        <f t="shared" si="0"/>
        <v>3.313E-3</v>
      </c>
    </row>
    <row r="76" spans="3:30" x14ac:dyDescent="0.2">
      <c r="C76" s="69">
        <f t="shared" ca="1" si="8"/>
        <v>45658</v>
      </c>
      <c r="D76" s="70">
        <f t="shared" ca="1" si="9"/>
        <v>40</v>
      </c>
      <c r="E76" s="69">
        <f t="shared" ca="1" si="13"/>
        <v>45670</v>
      </c>
      <c r="F76" s="65" t="s">
        <v>62</v>
      </c>
      <c r="G76" s="65"/>
      <c r="H76" s="122">
        <f t="shared" si="10"/>
        <v>57</v>
      </c>
      <c r="I76" s="123">
        <f t="shared" si="14"/>
        <v>-2260607.1882033879</v>
      </c>
      <c r="J76" s="58">
        <f t="shared" si="1"/>
        <v>1532487.651105402</v>
      </c>
      <c r="K76" s="51">
        <f t="shared" si="11"/>
        <v>728119.53709798586</v>
      </c>
      <c r="L76" s="51">
        <f t="shared" si="2"/>
        <v>167446690.80287275</v>
      </c>
      <c r="M76" s="58">
        <f t="shared" si="3"/>
        <v>0</v>
      </c>
      <c r="N76" s="58">
        <f t="shared" ca="1" si="4"/>
        <v>-44734.499550432207</v>
      </c>
      <c r="O76" s="58">
        <f t="shared" si="5"/>
        <v>-198000</v>
      </c>
      <c r="P76" s="121">
        <f t="shared" si="15"/>
        <v>57</v>
      </c>
      <c r="Q76" s="124">
        <f t="shared" ca="1" si="12"/>
        <v>-2503341.6877538203</v>
      </c>
      <c r="R76" s="46"/>
      <c r="W76" s="65"/>
      <c r="X76" s="72"/>
      <c r="Y76" s="66"/>
      <c r="Z76" s="46"/>
      <c r="AA76" s="66"/>
      <c r="AB76" s="73">
        <v>76</v>
      </c>
      <c r="AC76" s="75">
        <v>0.38030000000000003</v>
      </c>
      <c r="AD76" s="68">
        <f t="shared" si="0"/>
        <v>3.8030000000000004E-3</v>
      </c>
    </row>
    <row r="77" spans="3:30" x14ac:dyDescent="0.2">
      <c r="C77" s="69">
        <f t="shared" ca="1" si="8"/>
        <v>45658</v>
      </c>
      <c r="D77" s="70">
        <f t="shared" ca="1" si="9"/>
        <v>40</v>
      </c>
      <c r="E77" s="69">
        <f t="shared" ca="1" si="13"/>
        <v>45701</v>
      </c>
      <c r="F77" s="65" t="s">
        <v>63</v>
      </c>
      <c r="G77" s="65"/>
      <c r="H77" s="122">
        <f t="shared" si="10"/>
        <v>58</v>
      </c>
      <c r="I77" s="123">
        <f t="shared" si="14"/>
        <v>-2260607.1882033879</v>
      </c>
      <c r="J77" s="58">
        <f t="shared" si="1"/>
        <v>1525852.6848053031</v>
      </c>
      <c r="K77" s="51">
        <f t="shared" si="11"/>
        <v>734754.50339808478</v>
      </c>
      <c r="L77" s="51">
        <f t="shared" si="2"/>
        <v>166711936.29947466</v>
      </c>
      <c r="M77" s="58">
        <f t="shared" si="3"/>
        <v>0</v>
      </c>
      <c r="N77" s="58">
        <f t="shared" ca="1" si="4"/>
        <v>-44540.819753564145</v>
      </c>
      <c r="O77" s="58">
        <f t="shared" si="5"/>
        <v>-198000</v>
      </c>
      <c r="P77" s="121">
        <f t="shared" si="15"/>
        <v>58</v>
      </c>
      <c r="Q77" s="124">
        <f t="shared" ca="1" si="12"/>
        <v>-2503148.0079569519</v>
      </c>
      <c r="R77" s="46"/>
      <c r="W77" s="65"/>
      <c r="X77" s="72"/>
      <c r="Y77" s="66"/>
      <c r="Z77" s="46"/>
      <c r="AA77" s="66"/>
      <c r="AB77" s="73">
        <v>77</v>
      </c>
      <c r="AC77" s="75">
        <v>0.41410000000000002</v>
      </c>
      <c r="AD77" s="68">
        <f t="shared" si="0"/>
        <v>4.1410000000000006E-3</v>
      </c>
    </row>
    <row r="78" spans="3:30" x14ac:dyDescent="0.2">
      <c r="C78" s="69">
        <f t="shared" ca="1" si="8"/>
        <v>45658</v>
      </c>
      <c r="D78" s="70">
        <f t="shared" ca="1" si="9"/>
        <v>40</v>
      </c>
      <c r="E78" s="69">
        <f t="shared" ca="1" si="13"/>
        <v>45729</v>
      </c>
      <c r="F78" s="65" t="s">
        <v>64</v>
      </c>
      <c r="G78" s="65"/>
      <c r="H78" s="122">
        <f t="shared" si="10"/>
        <v>59</v>
      </c>
      <c r="I78" s="123">
        <f t="shared" si="14"/>
        <v>-2260607.1882033879</v>
      </c>
      <c r="J78" s="58">
        <f t="shared" si="1"/>
        <v>1519157.2575842144</v>
      </c>
      <c r="K78" s="51">
        <f t="shared" si="11"/>
        <v>741449.93061917345</v>
      </c>
      <c r="L78" s="51">
        <f t="shared" si="2"/>
        <v>165970486.36885548</v>
      </c>
      <c r="M78" s="58">
        <f t="shared" si="3"/>
        <v>0</v>
      </c>
      <c r="N78" s="58">
        <f t="shared" ca="1" si="4"/>
        <v>-44345.375055660254</v>
      </c>
      <c r="O78" s="58">
        <f t="shared" si="5"/>
        <v>-198000</v>
      </c>
      <c r="P78" s="121">
        <f t="shared" si="15"/>
        <v>59</v>
      </c>
      <c r="Q78" s="124">
        <f t="shared" ca="1" si="12"/>
        <v>-2502952.5632590479</v>
      </c>
      <c r="R78" s="46"/>
      <c r="W78" s="65"/>
      <c r="X78" s="72"/>
      <c r="Y78" s="66"/>
      <c r="Z78" s="46"/>
      <c r="AA78" s="66"/>
      <c r="AB78" s="73">
        <v>78</v>
      </c>
      <c r="AC78" s="75">
        <v>0.46329999999999999</v>
      </c>
      <c r="AD78" s="68">
        <f t="shared" si="0"/>
        <v>4.633E-3</v>
      </c>
    </row>
    <row r="79" spans="3:30" x14ac:dyDescent="0.2">
      <c r="C79" s="69">
        <f t="shared" ca="1" si="8"/>
        <v>45658</v>
      </c>
      <c r="D79" s="70">
        <f t="shared" ca="1" si="9"/>
        <v>40</v>
      </c>
      <c r="E79" s="69">
        <f t="shared" ca="1" si="13"/>
        <v>45760</v>
      </c>
      <c r="F79" s="65" t="s">
        <v>65</v>
      </c>
      <c r="G79" s="65"/>
      <c r="H79" s="122">
        <f t="shared" si="10"/>
        <v>60</v>
      </c>
      <c r="I79" s="123">
        <f t="shared" si="14"/>
        <v>-2260607.1882033879</v>
      </c>
      <c r="J79" s="58">
        <f t="shared" si="1"/>
        <v>1512400.818493902</v>
      </c>
      <c r="K79" s="51">
        <f t="shared" si="11"/>
        <v>748206.36970948591</v>
      </c>
      <c r="L79" s="51">
        <f t="shared" si="2"/>
        <v>165222279.99914598</v>
      </c>
      <c r="M79" s="58">
        <f t="shared" si="3"/>
        <v>0</v>
      </c>
      <c r="N79" s="58">
        <f t="shared" ca="1" si="4"/>
        <v>-44148.14937411555</v>
      </c>
      <c r="O79" s="58">
        <f t="shared" si="5"/>
        <v>-198000</v>
      </c>
      <c r="P79" s="121">
        <f t="shared" si="15"/>
        <v>60</v>
      </c>
      <c r="Q79" s="124">
        <f t="shared" ca="1" si="12"/>
        <v>-2502755.3375775036</v>
      </c>
      <c r="R79" s="46"/>
      <c r="W79" s="65"/>
      <c r="X79" s="72"/>
      <c r="Y79" s="66"/>
      <c r="Z79" s="46"/>
      <c r="AA79" s="66"/>
      <c r="AB79" s="73">
        <v>79</v>
      </c>
      <c r="AC79" s="75">
        <v>0.53700000000000003</v>
      </c>
      <c r="AD79" s="68">
        <f t="shared" si="0"/>
        <v>5.3700000000000006E-3</v>
      </c>
    </row>
    <row r="80" spans="3:30" x14ac:dyDescent="0.2">
      <c r="C80" s="69">
        <f t="shared" ca="1" si="8"/>
        <v>45658</v>
      </c>
      <c r="D80" s="70">
        <f t="shared" ca="1" si="9"/>
        <v>40</v>
      </c>
      <c r="E80" s="69">
        <f t="shared" ca="1" si="13"/>
        <v>45790</v>
      </c>
      <c r="F80" s="65" t="s">
        <v>66</v>
      </c>
      <c r="G80" s="65"/>
      <c r="H80" s="122">
        <f t="shared" si="10"/>
        <v>61</v>
      </c>
      <c r="I80" s="123">
        <f t="shared" si="14"/>
        <v>-2260607.1882033879</v>
      </c>
      <c r="J80" s="58">
        <f t="shared" si="1"/>
        <v>1505582.8115656334</v>
      </c>
      <c r="K80" s="51">
        <f t="shared" si="11"/>
        <v>755024.3766377545</v>
      </c>
      <c r="L80" s="51">
        <f t="shared" si="2"/>
        <v>164467255.62250823</v>
      </c>
      <c r="M80" s="58">
        <f t="shared" si="3"/>
        <v>0</v>
      </c>
      <c r="N80" s="58">
        <f t="shared" ca="1" si="4"/>
        <v>-43949.126479772822</v>
      </c>
      <c r="O80" s="58">
        <f t="shared" si="5"/>
        <v>-198000</v>
      </c>
      <c r="P80" s="121">
        <f t="shared" si="15"/>
        <v>61</v>
      </c>
      <c r="Q80" s="124">
        <f t="shared" ca="1" si="12"/>
        <v>-2502556.3146831607</v>
      </c>
      <c r="R80" s="46"/>
      <c r="W80" s="65"/>
      <c r="X80" s="72"/>
      <c r="Y80" s="66"/>
      <c r="Z80" s="46"/>
      <c r="AA80" s="66"/>
      <c r="AB80" s="73">
        <v>80</v>
      </c>
      <c r="AC80" s="75">
        <v>0.60680000000000001</v>
      </c>
      <c r="AD80" s="68">
        <f t="shared" si="0"/>
        <v>6.0680000000000005E-3</v>
      </c>
    </row>
    <row r="81" spans="3:30" x14ac:dyDescent="0.2">
      <c r="C81" s="69">
        <f t="shared" ca="1" si="8"/>
        <v>45658</v>
      </c>
      <c r="D81" s="70">
        <f t="shared" ca="1" si="9"/>
        <v>40</v>
      </c>
      <c r="E81" s="69">
        <f t="shared" ca="1" si="13"/>
        <v>45821</v>
      </c>
      <c r="F81" s="65" t="s">
        <v>67</v>
      </c>
      <c r="G81" s="65"/>
      <c r="H81" s="122">
        <f t="shared" si="10"/>
        <v>62</v>
      </c>
      <c r="I81" s="123">
        <f t="shared" si="14"/>
        <v>-2260607.1882033879</v>
      </c>
      <c r="J81" s="58">
        <f t="shared" si="1"/>
        <v>1498702.6757644282</v>
      </c>
      <c r="K81" s="51">
        <f t="shared" si="11"/>
        <v>761904.51243895967</v>
      </c>
      <c r="L81" s="51">
        <f t="shared" si="2"/>
        <v>163705351.11006927</v>
      </c>
      <c r="M81" s="58">
        <f t="shared" si="3"/>
        <v>0</v>
      </c>
      <c r="N81" s="58">
        <f t="shared" ca="1" si="4"/>
        <v>-43748.289995587184</v>
      </c>
      <c r="O81" s="58">
        <f t="shared" si="5"/>
        <v>-198000</v>
      </c>
      <c r="P81" s="121">
        <f t="shared" si="15"/>
        <v>62</v>
      </c>
      <c r="Q81" s="124">
        <f t="shared" ca="1" si="12"/>
        <v>-2502355.4781989749</v>
      </c>
      <c r="R81" s="46"/>
      <c r="W81" s="65"/>
      <c r="X81" s="72"/>
      <c r="Y81" s="66"/>
      <c r="Z81" s="46"/>
      <c r="AA81" s="66"/>
      <c r="AB81" s="73">
        <v>81</v>
      </c>
      <c r="AC81" s="75">
        <v>0.68579999999999997</v>
      </c>
      <c r="AD81" s="68">
        <f t="shared" si="0"/>
        <v>6.8579999999999995E-3</v>
      </c>
    </row>
    <row r="82" spans="3:30" x14ac:dyDescent="0.2">
      <c r="C82" s="69">
        <f t="shared" ca="1" si="8"/>
        <v>45658</v>
      </c>
      <c r="D82" s="70">
        <f t="shared" ca="1" si="9"/>
        <v>40</v>
      </c>
      <c r="E82" s="69">
        <f t="shared" ca="1" si="13"/>
        <v>45851</v>
      </c>
      <c r="F82" s="65" t="s">
        <v>68</v>
      </c>
      <c r="G82" s="65"/>
      <c r="H82" s="122">
        <f t="shared" si="10"/>
        <v>63</v>
      </c>
      <c r="I82" s="123">
        <f t="shared" si="14"/>
        <v>-2260607.1882033879</v>
      </c>
      <c r="J82" s="58">
        <f t="shared" si="1"/>
        <v>1491759.8449428931</v>
      </c>
      <c r="K82" s="51">
        <f t="shared" si="11"/>
        <v>768847.34326049476</v>
      </c>
      <c r="L82" s="51">
        <f t="shared" si="2"/>
        <v>162936503.76680878</v>
      </c>
      <c r="M82" s="58">
        <f t="shared" si="3"/>
        <v>0</v>
      </c>
      <c r="N82" s="58">
        <f t="shared" ca="1" si="4"/>
        <v>-43545.623395278424</v>
      </c>
      <c r="O82" s="58">
        <f t="shared" si="5"/>
        <v>-198000</v>
      </c>
      <c r="P82" s="121">
        <f t="shared" si="15"/>
        <v>63</v>
      </c>
      <c r="Q82" s="124">
        <f t="shared" ca="1" si="12"/>
        <v>-2502152.8115986665</v>
      </c>
      <c r="R82" s="46"/>
      <c r="W82" s="65"/>
      <c r="X82" s="72"/>
      <c r="Y82" s="66"/>
      <c r="Z82" s="46"/>
      <c r="AA82" s="66"/>
      <c r="AB82" s="73">
        <v>82</v>
      </c>
      <c r="AC82" s="75">
        <v>0.77500000000000002</v>
      </c>
      <c r="AD82" s="68">
        <f t="shared" si="0"/>
        <v>7.7499999999999999E-3</v>
      </c>
    </row>
    <row r="83" spans="3:30" x14ac:dyDescent="0.2">
      <c r="C83" s="69">
        <f t="shared" ca="1" si="8"/>
        <v>45658</v>
      </c>
      <c r="D83" s="70">
        <f t="shared" ca="1" si="9"/>
        <v>40</v>
      </c>
      <c r="E83" s="69">
        <f t="shared" ca="1" si="13"/>
        <v>45882</v>
      </c>
      <c r="F83" s="65" t="s">
        <v>69</v>
      </c>
      <c r="G83" s="65"/>
      <c r="H83" s="122">
        <f t="shared" si="10"/>
        <v>64</v>
      </c>
      <c r="I83" s="123">
        <f t="shared" si="14"/>
        <v>-2260607.1882033879</v>
      </c>
      <c r="J83" s="58">
        <f t="shared" si="1"/>
        <v>1484753.7477946337</v>
      </c>
      <c r="K83" s="51">
        <f t="shared" si="11"/>
        <v>775853.44040875416</v>
      </c>
      <c r="L83" s="51">
        <f t="shared" si="2"/>
        <v>162160650.32640001</v>
      </c>
      <c r="M83" s="58">
        <f t="shared" si="3"/>
        <v>0</v>
      </c>
      <c r="N83" s="58">
        <f t="shared" ca="1" si="4"/>
        <v>-43341.11000197113</v>
      </c>
      <c r="O83" s="58">
        <f t="shared" si="5"/>
        <v>-198000</v>
      </c>
      <c r="P83" s="121">
        <f t="shared" si="15"/>
        <v>64</v>
      </c>
      <c r="Q83" s="124">
        <f t="shared" ca="1" si="12"/>
        <v>-2501948.2982053589</v>
      </c>
      <c r="R83" s="46"/>
      <c r="W83" s="65"/>
      <c r="X83" s="72"/>
      <c r="Y83" s="66"/>
      <c r="Z83" s="46"/>
      <c r="AA83" s="66"/>
      <c r="AB83" s="73">
        <v>83</v>
      </c>
      <c r="AC83" s="75">
        <v>0.86019999999999996</v>
      </c>
      <c r="AD83" s="68">
        <f t="shared" ref="AD83:AD90" si="16">+AC83%</f>
        <v>8.6020000000000003E-3</v>
      </c>
    </row>
    <row r="84" spans="3:30" x14ac:dyDescent="0.2">
      <c r="C84" s="69">
        <f t="shared" ca="1" si="8"/>
        <v>45658</v>
      </c>
      <c r="D84" s="70">
        <f t="shared" ca="1" si="9"/>
        <v>40</v>
      </c>
      <c r="E84" s="69">
        <f t="shared" ca="1" si="13"/>
        <v>45913</v>
      </c>
      <c r="F84" s="65" t="s">
        <v>70</v>
      </c>
      <c r="G84" s="65"/>
      <c r="H84" s="122">
        <f t="shared" si="10"/>
        <v>65</v>
      </c>
      <c r="I84" s="123">
        <f t="shared" si="14"/>
        <v>-2260607.1882033879</v>
      </c>
      <c r="J84" s="58">
        <f t="shared" ref="J84:J147" si="17">+IF(L83&gt;0,L83*$J$9,0)</f>
        <v>1477683.8078072451</v>
      </c>
      <c r="K84" s="51">
        <f t="shared" si="11"/>
        <v>782923.38039614283</v>
      </c>
      <c r="L84" s="51">
        <f t="shared" ref="L84:L147" si="18">+L83-K84</f>
        <v>161377726.94600385</v>
      </c>
      <c r="M84" s="58">
        <f t="shared" ref="M84:M147" si="19">+-L83/1000000*$J$10</f>
        <v>0</v>
      </c>
      <c r="N84" s="58">
        <f t="shared" ref="N84:N147" ca="1" si="20">+-VLOOKUP(D84,$AB$17:$AF$90,3,0)*L83</f>
        <v>-43134.732986822397</v>
      </c>
      <c r="O84" s="58">
        <f t="shared" ref="O84:O147" si="21">IF(L83&gt;0.1,-$J$13/1000000*$J$11,0)</f>
        <v>-198000</v>
      </c>
      <c r="P84" s="121">
        <f t="shared" si="15"/>
        <v>65</v>
      </c>
      <c r="Q84" s="124">
        <f t="shared" ca="1" si="12"/>
        <v>-2501741.9211902102</v>
      </c>
      <c r="R84" s="46"/>
      <c r="W84" s="65"/>
      <c r="X84" s="72"/>
      <c r="Y84" s="66"/>
      <c r="Z84" s="46"/>
      <c r="AA84" s="66"/>
      <c r="AB84" s="73">
        <v>84</v>
      </c>
      <c r="AC84" s="75">
        <v>0.95489999999999997</v>
      </c>
      <c r="AD84" s="68">
        <f t="shared" si="16"/>
        <v>9.5490000000000002E-3</v>
      </c>
    </row>
    <row r="85" spans="3:30" x14ac:dyDescent="0.2">
      <c r="C85" s="69">
        <f t="shared" ref="C85:C148" ca="1" si="22">+VLOOKUP(E85,$A$19:$B$43,1,1)</f>
        <v>45658</v>
      </c>
      <c r="D85" s="70">
        <f t="shared" ref="D85:D148" ca="1" si="23">+VLOOKUP(C85,$A$19:$B$43,2,0)</f>
        <v>40</v>
      </c>
      <c r="E85" s="69">
        <f t="shared" ca="1" si="13"/>
        <v>45943</v>
      </c>
      <c r="F85" s="65" t="s">
        <v>71</v>
      </c>
      <c r="G85" s="65"/>
      <c r="H85" s="122">
        <f t="shared" ref="H85:H148" si="24">P85</f>
        <v>66</v>
      </c>
      <c r="I85" s="123">
        <f t="shared" si="14"/>
        <v>-2260607.1882033879</v>
      </c>
      <c r="J85" s="58">
        <f t="shared" si="17"/>
        <v>1470549.4432148705</v>
      </c>
      <c r="K85" s="51">
        <f t="shared" ref="K85:K148" si="25">+IF(L84&gt;0,-I85-J85,0)</f>
        <v>790057.74498851737</v>
      </c>
      <c r="L85" s="51">
        <f t="shared" si="18"/>
        <v>160587669.20101532</v>
      </c>
      <c r="M85" s="58">
        <f t="shared" si="19"/>
        <v>0</v>
      </c>
      <c r="N85" s="58">
        <f t="shared" ca="1" si="20"/>
        <v>-42926.475367637016</v>
      </c>
      <c r="O85" s="58">
        <f t="shared" si="21"/>
        <v>-198000</v>
      </c>
      <c r="P85" s="121">
        <f t="shared" si="15"/>
        <v>66</v>
      </c>
      <c r="Q85" s="124">
        <f t="shared" ref="Q85:Q148" ca="1" si="26">+I85+M85+N85+O85</f>
        <v>-2501533.6635710248</v>
      </c>
      <c r="R85" s="46"/>
      <c r="W85" s="65"/>
      <c r="X85" s="72"/>
      <c r="Y85" s="66"/>
      <c r="Z85" s="46"/>
      <c r="AA85" s="66"/>
      <c r="AB85" s="73">
        <v>85</v>
      </c>
      <c r="AC85" s="75">
        <v>0.95489999999999997</v>
      </c>
      <c r="AD85" s="68">
        <f t="shared" si="16"/>
        <v>9.5490000000000002E-3</v>
      </c>
    </row>
    <row r="86" spans="3:30" x14ac:dyDescent="0.2">
      <c r="C86" s="69">
        <f t="shared" ca="1" si="22"/>
        <v>45658</v>
      </c>
      <c r="D86" s="70">
        <f t="shared" ca="1" si="23"/>
        <v>40</v>
      </c>
      <c r="E86" s="69">
        <f t="shared" ref="E86:E149" ca="1" si="27">+EDATE(E85,1)</f>
        <v>45974</v>
      </c>
      <c r="F86" s="65" t="s">
        <v>72</v>
      </c>
      <c r="G86" s="65"/>
      <c r="H86" s="122">
        <f t="shared" si="24"/>
        <v>67</v>
      </c>
      <c r="I86" s="123">
        <f t="shared" ref="I86:I149" si="28">+IF(L85&gt;0.1,IF(P86=$J$7,I85-$K$5,I85),0)</f>
        <v>-2260607.1882033879</v>
      </c>
      <c r="J86" s="58">
        <f t="shared" si="17"/>
        <v>1463350.0669503305</v>
      </c>
      <c r="K86" s="51">
        <f t="shared" si="25"/>
        <v>797257.12125305738</v>
      </c>
      <c r="L86" s="51">
        <f t="shared" si="18"/>
        <v>159790412.07976228</v>
      </c>
      <c r="M86" s="58">
        <f t="shared" si="19"/>
        <v>0</v>
      </c>
      <c r="N86" s="58">
        <f t="shared" ca="1" si="20"/>
        <v>-42716.320007470073</v>
      </c>
      <c r="O86" s="58">
        <f t="shared" si="21"/>
        <v>-198000</v>
      </c>
      <c r="P86" s="121">
        <f t="shared" ref="P86:P149" si="29">+P85+1</f>
        <v>67</v>
      </c>
      <c r="Q86" s="124">
        <f t="shared" ca="1" si="26"/>
        <v>-2501323.5082108579</v>
      </c>
      <c r="R86" s="46"/>
      <c r="W86" s="65"/>
      <c r="X86" s="72"/>
      <c r="Y86" s="66"/>
      <c r="Z86" s="46"/>
      <c r="AA86" s="66"/>
      <c r="AB86" s="73">
        <v>86</v>
      </c>
      <c r="AC86" s="75">
        <v>1.0599000000000001</v>
      </c>
      <c r="AD86" s="68">
        <f t="shared" si="16"/>
        <v>1.0599000000000001E-2</v>
      </c>
    </row>
    <row r="87" spans="3:30" x14ac:dyDescent="0.2">
      <c r="C87" s="69">
        <f t="shared" ca="1" si="22"/>
        <v>45658</v>
      </c>
      <c r="D87" s="70">
        <f t="shared" ca="1" si="23"/>
        <v>40</v>
      </c>
      <c r="E87" s="69">
        <f t="shared" ca="1" si="27"/>
        <v>46004</v>
      </c>
      <c r="F87" s="65" t="s">
        <v>73</v>
      </c>
      <c r="G87" s="65"/>
      <c r="H87" s="122">
        <f t="shared" si="24"/>
        <v>68</v>
      </c>
      <c r="I87" s="123">
        <f t="shared" si="28"/>
        <v>-2260607.1882033879</v>
      </c>
      <c r="J87" s="58">
        <f t="shared" si="17"/>
        <v>1456085.0865968147</v>
      </c>
      <c r="K87" s="51">
        <f t="shared" si="25"/>
        <v>804522.10160657321</v>
      </c>
      <c r="L87" s="51">
        <f t="shared" si="18"/>
        <v>158985889.9781557</v>
      </c>
      <c r="M87" s="58">
        <f t="shared" si="19"/>
        <v>0</v>
      </c>
      <c r="N87" s="58">
        <f t="shared" ca="1" si="20"/>
        <v>-42504.249613216758</v>
      </c>
      <c r="O87" s="58">
        <f t="shared" si="21"/>
        <v>-198000</v>
      </c>
      <c r="P87" s="121">
        <f t="shared" si="29"/>
        <v>68</v>
      </c>
      <c r="Q87" s="124">
        <f t="shared" ca="1" si="26"/>
        <v>-2501111.4378166045</v>
      </c>
      <c r="R87" s="46"/>
      <c r="W87" s="65"/>
      <c r="X87" s="72"/>
      <c r="Y87" s="66"/>
      <c r="Z87" s="46"/>
      <c r="AA87" s="66"/>
      <c r="AB87" s="73">
        <v>87</v>
      </c>
      <c r="AC87" s="75">
        <v>1.0599000000000001</v>
      </c>
      <c r="AD87" s="68">
        <f t="shared" si="16"/>
        <v>1.0599000000000001E-2</v>
      </c>
    </row>
    <row r="88" spans="3:30" x14ac:dyDescent="0.2">
      <c r="C88" s="69">
        <f t="shared" ca="1" si="22"/>
        <v>46023</v>
      </c>
      <c r="D88" s="70">
        <f t="shared" ca="1" si="23"/>
        <v>41</v>
      </c>
      <c r="E88" s="69">
        <f t="shared" ca="1" si="27"/>
        <v>46035</v>
      </c>
      <c r="F88" s="65" t="s">
        <v>74</v>
      </c>
      <c r="G88" s="65"/>
      <c r="H88" s="122">
        <f t="shared" si="24"/>
        <v>69</v>
      </c>
      <c r="I88" s="123">
        <f t="shared" si="28"/>
        <v>-2260607.1882033879</v>
      </c>
      <c r="J88" s="58">
        <f t="shared" si="17"/>
        <v>1448753.9043391326</v>
      </c>
      <c r="K88" s="51">
        <f t="shared" si="25"/>
        <v>811853.2838642553</v>
      </c>
      <c r="L88" s="51">
        <f t="shared" si="18"/>
        <v>158174036.69429144</v>
      </c>
      <c r="M88" s="58">
        <f t="shared" si="19"/>
        <v>0</v>
      </c>
      <c r="N88" s="58">
        <f t="shared" ca="1" si="20"/>
        <v>-43085.176184080192</v>
      </c>
      <c r="O88" s="58">
        <f t="shared" si="21"/>
        <v>-198000</v>
      </c>
      <c r="P88" s="121">
        <f t="shared" si="29"/>
        <v>69</v>
      </c>
      <c r="Q88" s="124">
        <f t="shared" ca="1" si="26"/>
        <v>-2501692.364387468</v>
      </c>
      <c r="R88" s="46"/>
      <c r="W88" s="65"/>
      <c r="X88" s="72"/>
      <c r="Y88" s="66"/>
      <c r="Z88" s="46"/>
      <c r="AA88" s="66"/>
      <c r="AB88" s="73">
        <v>88</v>
      </c>
      <c r="AC88" s="75">
        <v>1.1765000000000001</v>
      </c>
      <c r="AD88" s="68">
        <f t="shared" si="16"/>
        <v>1.1765000000000001E-2</v>
      </c>
    </row>
    <row r="89" spans="3:30" x14ac:dyDescent="0.2">
      <c r="C89" s="69">
        <f t="shared" ca="1" si="22"/>
        <v>46023</v>
      </c>
      <c r="D89" s="70">
        <f t="shared" ca="1" si="23"/>
        <v>41</v>
      </c>
      <c r="E89" s="69">
        <f t="shared" ca="1" si="27"/>
        <v>46066</v>
      </c>
      <c r="F89" s="65" t="s">
        <v>75</v>
      </c>
      <c r="G89" s="65"/>
      <c r="H89" s="122">
        <f t="shared" si="24"/>
        <v>70</v>
      </c>
      <c r="I89" s="123">
        <f t="shared" si="28"/>
        <v>-2260607.1882033879</v>
      </c>
      <c r="J89" s="58">
        <f t="shared" si="17"/>
        <v>1441355.9169145222</v>
      </c>
      <c r="K89" s="51">
        <f t="shared" si="25"/>
        <v>819251.27128886571</v>
      </c>
      <c r="L89" s="51">
        <f t="shared" si="18"/>
        <v>157354785.42300257</v>
      </c>
      <c r="M89" s="58">
        <f t="shared" si="19"/>
        <v>0</v>
      </c>
      <c r="N89" s="58">
        <f t="shared" ca="1" si="20"/>
        <v>-42865.163944152977</v>
      </c>
      <c r="O89" s="58">
        <f t="shared" si="21"/>
        <v>-198000</v>
      </c>
      <c r="P89" s="121">
        <f t="shared" si="29"/>
        <v>70</v>
      </c>
      <c r="Q89" s="124">
        <f t="shared" ca="1" si="26"/>
        <v>-2501472.352147541</v>
      </c>
      <c r="R89" s="46"/>
      <c r="W89" s="65"/>
      <c r="X89" s="72"/>
      <c r="Y89" s="66"/>
      <c r="Z89" s="46"/>
      <c r="AA89" s="66"/>
      <c r="AB89" s="73">
        <v>89</v>
      </c>
      <c r="AC89" s="75">
        <v>1.1765000000000001</v>
      </c>
      <c r="AD89" s="68">
        <f t="shared" si="16"/>
        <v>1.1765000000000001E-2</v>
      </c>
    </row>
    <row r="90" spans="3:30" x14ac:dyDescent="0.2">
      <c r="C90" s="69">
        <f t="shared" ca="1" si="22"/>
        <v>46023</v>
      </c>
      <c r="D90" s="70">
        <f t="shared" ca="1" si="23"/>
        <v>41</v>
      </c>
      <c r="E90" s="69">
        <f t="shared" ca="1" si="27"/>
        <v>46094</v>
      </c>
      <c r="F90" s="65" t="s">
        <v>76</v>
      </c>
      <c r="G90" s="65"/>
      <c r="H90" s="122">
        <f t="shared" si="24"/>
        <v>71</v>
      </c>
      <c r="I90" s="123">
        <f t="shared" si="28"/>
        <v>-2260607.1882033879</v>
      </c>
      <c r="J90" s="58">
        <f t="shared" si="17"/>
        <v>1433890.5155630084</v>
      </c>
      <c r="K90" s="51">
        <f t="shared" si="25"/>
        <v>826716.67264037952</v>
      </c>
      <c r="L90" s="51">
        <f t="shared" si="18"/>
        <v>156528068.75036219</v>
      </c>
      <c r="M90" s="58">
        <f t="shared" si="19"/>
        <v>0</v>
      </c>
      <c r="N90" s="58">
        <f t="shared" ca="1" si="20"/>
        <v>-42643.146849633689</v>
      </c>
      <c r="O90" s="58">
        <f t="shared" si="21"/>
        <v>-198000</v>
      </c>
      <c r="P90" s="121">
        <f t="shared" si="29"/>
        <v>71</v>
      </c>
      <c r="Q90" s="124">
        <f t="shared" ca="1" si="26"/>
        <v>-2501250.3350530216</v>
      </c>
      <c r="R90" s="46"/>
      <c r="W90" s="65"/>
      <c r="X90" s="72"/>
      <c r="Y90" s="66"/>
      <c r="Z90" s="46"/>
      <c r="AA90" s="66"/>
      <c r="AB90" s="73">
        <v>90</v>
      </c>
      <c r="AC90" s="75">
        <v>1.1765000000000001</v>
      </c>
      <c r="AD90" s="68">
        <f t="shared" si="16"/>
        <v>1.1765000000000001E-2</v>
      </c>
    </row>
    <row r="91" spans="3:30" x14ac:dyDescent="0.2">
      <c r="C91" s="69">
        <f t="shared" ca="1" si="22"/>
        <v>46023</v>
      </c>
      <c r="D91" s="70">
        <f t="shared" ca="1" si="23"/>
        <v>41</v>
      </c>
      <c r="E91" s="69">
        <f t="shared" ca="1" si="27"/>
        <v>46125</v>
      </c>
      <c r="F91" s="65" t="s">
        <v>77</v>
      </c>
      <c r="G91" s="65"/>
      <c r="H91" s="122">
        <f t="shared" si="24"/>
        <v>72</v>
      </c>
      <c r="I91" s="123">
        <f t="shared" si="28"/>
        <v>-2260607.1882033879</v>
      </c>
      <c r="J91" s="58">
        <f t="shared" si="17"/>
        <v>1426357.0859773101</v>
      </c>
      <c r="K91" s="51">
        <f t="shared" si="25"/>
        <v>834250.10222607781</v>
      </c>
      <c r="L91" s="51">
        <f t="shared" si="18"/>
        <v>155693818.64813611</v>
      </c>
      <c r="M91" s="58">
        <f t="shared" si="19"/>
        <v>0</v>
      </c>
      <c r="N91" s="58">
        <f t="shared" ca="1" si="20"/>
        <v>-42419.10663134815</v>
      </c>
      <c r="O91" s="58">
        <f t="shared" si="21"/>
        <v>-198000</v>
      </c>
      <c r="P91" s="121">
        <f t="shared" si="29"/>
        <v>72</v>
      </c>
      <c r="Q91" s="124">
        <f t="shared" ca="1" si="26"/>
        <v>-2501026.2948347363</v>
      </c>
      <c r="R91" s="46"/>
      <c r="W91" s="65"/>
      <c r="X91" s="72"/>
      <c r="Y91" s="66"/>
      <c r="Z91" s="46"/>
      <c r="AA91" s="66"/>
    </row>
    <row r="92" spans="3:30" x14ac:dyDescent="0.2">
      <c r="C92" s="69">
        <f t="shared" ca="1" si="22"/>
        <v>46023</v>
      </c>
      <c r="D92" s="70">
        <f t="shared" ca="1" si="23"/>
        <v>41</v>
      </c>
      <c r="E92" s="69">
        <f t="shared" ca="1" si="27"/>
        <v>46155</v>
      </c>
      <c r="F92" s="65" t="s">
        <v>78</v>
      </c>
      <c r="G92" s="65"/>
      <c r="H92" s="122">
        <f t="shared" si="24"/>
        <v>73</v>
      </c>
      <c r="I92" s="123">
        <f t="shared" si="28"/>
        <v>-2260607.1882033879</v>
      </c>
      <c r="J92" s="58">
        <f t="shared" si="17"/>
        <v>1418755.0082522903</v>
      </c>
      <c r="K92" s="51">
        <f t="shared" si="25"/>
        <v>841852.17995109758</v>
      </c>
      <c r="L92" s="51">
        <f t="shared" si="18"/>
        <v>154851966.46818501</v>
      </c>
      <c r="M92" s="58">
        <f t="shared" si="19"/>
        <v>0</v>
      </c>
      <c r="N92" s="58">
        <f t="shared" ca="1" si="20"/>
        <v>-42193.024853644878</v>
      </c>
      <c r="O92" s="58">
        <f t="shared" si="21"/>
        <v>-198000</v>
      </c>
      <c r="P92" s="121">
        <f t="shared" si="29"/>
        <v>73</v>
      </c>
      <c r="Q92" s="124">
        <f t="shared" ca="1" si="26"/>
        <v>-2500800.2130570328</v>
      </c>
      <c r="R92" s="46"/>
      <c r="W92" s="65"/>
      <c r="X92" s="72"/>
      <c r="Y92" s="66"/>
      <c r="Z92" s="46"/>
      <c r="AA92" s="66"/>
    </row>
    <row r="93" spans="3:30" x14ac:dyDescent="0.2">
      <c r="C93" s="69">
        <f t="shared" ca="1" si="22"/>
        <v>46023</v>
      </c>
      <c r="D93" s="70">
        <f t="shared" ca="1" si="23"/>
        <v>41</v>
      </c>
      <c r="E93" s="69">
        <f t="shared" ca="1" si="27"/>
        <v>46186</v>
      </c>
      <c r="F93" s="65" t="s">
        <v>79</v>
      </c>
      <c r="G93" s="65"/>
      <c r="H93" s="122">
        <f t="shared" si="24"/>
        <v>74</v>
      </c>
      <c r="I93" s="123">
        <f t="shared" si="28"/>
        <v>-2260607.1882033879</v>
      </c>
      <c r="J93" s="58">
        <f t="shared" si="17"/>
        <v>1411083.6568339467</v>
      </c>
      <c r="K93" s="51">
        <f t="shared" si="25"/>
        <v>849523.53136944119</v>
      </c>
      <c r="L93" s="51">
        <f t="shared" si="18"/>
        <v>154002442.93681556</v>
      </c>
      <c r="M93" s="58">
        <f t="shared" si="19"/>
        <v>0</v>
      </c>
      <c r="N93" s="58">
        <f t="shared" ca="1" si="20"/>
        <v>-41964.882912878136</v>
      </c>
      <c r="O93" s="58">
        <f t="shared" si="21"/>
        <v>-198000</v>
      </c>
      <c r="P93" s="121">
        <f t="shared" si="29"/>
        <v>74</v>
      </c>
      <c r="Q93" s="124">
        <f t="shared" ca="1" si="26"/>
        <v>-2500572.0711162658</v>
      </c>
      <c r="R93" s="46"/>
      <c r="W93" s="65"/>
      <c r="X93" s="72"/>
      <c r="Y93" s="66"/>
      <c r="Z93" s="46"/>
      <c r="AA93" s="66"/>
    </row>
    <row r="94" spans="3:30" x14ac:dyDescent="0.2">
      <c r="C94" s="69">
        <f t="shared" ca="1" si="22"/>
        <v>46023</v>
      </c>
      <c r="D94" s="70">
        <f t="shared" ca="1" si="23"/>
        <v>41</v>
      </c>
      <c r="E94" s="69">
        <f t="shared" ca="1" si="27"/>
        <v>46216</v>
      </c>
      <c r="F94" s="65" t="s">
        <v>80</v>
      </c>
      <c r="G94" s="65"/>
      <c r="H94" s="122">
        <f t="shared" si="24"/>
        <v>75</v>
      </c>
      <c r="I94" s="123">
        <f t="shared" si="28"/>
        <v>-2260607.1882033879</v>
      </c>
      <c r="J94" s="58">
        <f t="shared" si="17"/>
        <v>1403342.4004679348</v>
      </c>
      <c r="K94" s="51">
        <f t="shared" si="25"/>
        <v>857264.78773545311</v>
      </c>
      <c r="L94" s="51">
        <f t="shared" si="18"/>
        <v>153145178.1490801</v>
      </c>
      <c r="M94" s="58">
        <f t="shared" si="19"/>
        <v>0</v>
      </c>
      <c r="N94" s="58">
        <f t="shared" ca="1" si="20"/>
        <v>-41734.662035877016</v>
      </c>
      <c r="O94" s="58">
        <f t="shared" si="21"/>
        <v>-198000</v>
      </c>
      <c r="P94" s="121">
        <f t="shared" si="29"/>
        <v>75</v>
      </c>
      <c r="Q94" s="124">
        <f t="shared" ca="1" si="26"/>
        <v>-2500341.8502392648</v>
      </c>
      <c r="R94" s="46"/>
      <c r="W94" s="65"/>
      <c r="X94" s="72"/>
      <c r="Y94" s="66"/>
      <c r="Z94" s="46"/>
      <c r="AA94" s="66"/>
    </row>
    <row r="95" spans="3:30" x14ac:dyDescent="0.2">
      <c r="C95" s="69">
        <f t="shared" ca="1" si="22"/>
        <v>46023</v>
      </c>
      <c r="D95" s="70">
        <f t="shared" ca="1" si="23"/>
        <v>41</v>
      </c>
      <c r="E95" s="69">
        <f t="shared" ca="1" si="27"/>
        <v>46247</v>
      </c>
      <c r="F95" s="65" t="s">
        <v>81</v>
      </c>
      <c r="G95" s="65"/>
      <c r="H95" s="122">
        <f t="shared" si="24"/>
        <v>76</v>
      </c>
      <c r="I95" s="123">
        <f t="shared" si="28"/>
        <v>-2260607.1882033879</v>
      </c>
      <c r="J95" s="58">
        <f t="shared" si="17"/>
        <v>1395530.6021476258</v>
      </c>
      <c r="K95" s="51">
        <f t="shared" si="25"/>
        <v>865076.58605576213</v>
      </c>
      <c r="L95" s="51">
        <f t="shared" si="18"/>
        <v>152280101.56302434</v>
      </c>
      <c r="M95" s="58">
        <f t="shared" si="19"/>
        <v>0</v>
      </c>
      <c r="N95" s="58">
        <f t="shared" ca="1" si="20"/>
        <v>-41502.343278400702</v>
      </c>
      <c r="O95" s="58">
        <f t="shared" si="21"/>
        <v>-198000</v>
      </c>
      <c r="P95" s="121">
        <f t="shared" si="29"/>
        <v>76</v>
      </c>
      <c r="Q95" s="124">
        <f t="shared" ca="1" si="26"/>
        <v>-2500109.5314817885</v>
      </c>
      <c r="R95" s="46"/>
      <c r="W95" s="65"/>
      <c r="X95" s="72"/>
      <c r="Y95" s="66"/>
      <c r="Z95" s="46"/>
      <c r="AA95" s="66"/>
    </row>
    <row r="96" spans="3:30" x14ac:dyDescent="0.2">
      <c r="C96" s="69">
        <f t="shared" ca="1" si="22"/>
        <v>46023</v>
      </c>
      <c r="D96" s="70">
        <f t="shared" ca="1" si="23"/>
        <v>41</v>
      </c>
      <c r="E96" s="69">
        <f t="shared" ca="1" si="27"/>
        <v>46278</v>
      </c>
      <c r="F96" s="65" t="s">
        <v>82</v>
      </c>
      <c r="G96" s="65"/>
      <c r="H96" s="122">
        <f t="shared" si="24"/>
        <v>77</v>
      </c>
      <c r="I96" s="123">
        <f t="shared" si="28"/>
        <v>-2260607.1882033879</v>
      </c>
      <c r="J96" s="58">
        <f t="shared" si="17"/>
        <v>1387647.6190616875</v>
      </c>
      <c r="K96" s="51">
        <f t="shared" si="25"/>
        <v>872959.5691417004</v>
      </c>
      <c r="L96" s="51">
        <f t="shared" si="18"/>
        <v>151407141.99388266</v>
      </c>
      <c r="M96" s="58">
        <f t="shared" si="19"/>
        <v>0</v>
      </c>
      <c r="N96" s="58">
        <f t="shared" ca="1" si="20"/>
        <v>-41267.90752357959</v>
      </c>
      <c r="O96" s="58">
        <f t="shared" si="21"/>
        <v>-198000</v>
      </c>
      <c r="P96" s="121">
        <f t="shared" si="29"/>
        <v>77</v>
      </c>
      <c r="Q96" s="124">
        <f t="shared" ca="1" si="26"/>
        <v>-2499875.0957269673</v>
      </c>
      <c r="R96" s="46"/>
      <c r="W96" s="65"/>
      <c r="X96" s="72"/>
      <c r="Y96" s="66"/>
      <c r="Z96" s="46"/>
      <c r="AA96" s="66"/>
    </row>
    <row r="97" spans="3:27" x14ac:dyDescent="0.2">
      <c r="C97" s="69">
        <f t="shared" ca="1" si="22"/>
        <v>46023</v>
      </c>
      <c r="D97" s="70">
        <f t="shared" ca="1" si="23"/>
        <v>41</v>
      </c>
      <c r="E97" s="69">
        <f t="shared" ca="1" si="27"/>
        <v>46308</v>
      </c>
      <c r="F97" s="65" t="s">
        <v>83</v>
      </c>
      <c r="G97" s="65"/>
      <c r="H97" s="122">
        <f t="shared" si="24"/>
        <v>78</v>
      </c>
      <c r="I97" s="123">
        <f t="shared" si="28"/>
        <v>-2260607.1882033879</v>
      </c>
      <c r="J97" s="58">
        <f t="shared" si="17"/>
        <v>1379692.8025411901</v>
      </c>
      <c r="K97" s="51">
        <f t="shared" si="25"/>
        <v>880914.38566219783</v>
      </c>
      <c r="L97" s="51">
        <f t="shared" si="18"/>
        <v>150526227.60822046</v>
      </c>
      <c r="M97" s="58">
        <f t="shared" si="19"/>
        <v>0</v>
      </c>
      <c r="N97" s="58">
        <f t="shared" ca="1" si="20"/>
        <v>-41031.335480342197</v>
      </c>
      <c r="O97" s="58">
        <f t="shared" si="21"/>
        <v>-198000</v>
      </c>
      <c r="P97" s="121">
        <f t="shared" si="29"/>
        <v>78</v>
      </c>
      <c r="Q97" s="124">
        <f t="shared" ca="1" si="26"/>
        <v>-2499638.52368373</v>
      </c>
      <c r="R97" s="46"/>
      <c r="W97" s="65"/>
      <c r="X97" s="72"/>
      <c r="Y97" s="66"/>
      <c r="Z97" s="46"/>
      <c r="AA97" s="66"/>
    </row>
    <row r="98" spans="3:27" x14ac:dyDescent="0.2">
      <c r="C98" s="69">
        <f t="shared" ca="1" si="22"/>
        <v>46023</v>
      </c>
      <c r="D98" s="70">
        <f t="shared" ca="1" si="23"/>
        <v>41</v>
      </c>
      <c r="E98" s="69">
        <f t="shared" ca="1" si="27"/>
        <v>46339</v>
      </c>
      <c r="F98" s="65" t="s">
        <v>84</v>
      </c>
      <c r="G98" s="65"/>
      <c r="H98" s="122">
        <f t="shared" si="24"/>
        <v>79</v>
      </c>
      <c r="I98" s="123">
        <f t="shared" si="28"/>
        <v>-2260607.1882033879</v>
      </c>
      <c r="J98" s="58">
        <f t="shared" si="17"/>
        <v>1371665.4980062279</v>
      </c>
      <c r="K98" s="51">
        <f t="shared" si="25"/>
        <v>888941.69019716</v>
      </c>
      <c r="L98" s="51">
        <f t="shared" si="18"/>
        <v>149637285.91802329</v>
      </c>
      <c r="M98" s="58">
        <f t="shared" si="19"/>
        <v>0</v>
      </c>
      <c r="N98" s="58">
        <f t="shared" ca="1" si="20"/>
        <v>-40792.607681827743</v>
      </c>
      <c r="O98" s="58">
        <f t="shared" si="21"/>
        <v>-198000</v>
      </c>
      <c r="P98" s="121">
        <f t="shared" si="29"/>
        <v>79</v>
      </c>
      <c r="Q98" s="124">
        <f t="shared" ca="1" si="26"/>
        <v>-2499399.7958852155</v>
      </c>
      <c r="R98" s="46"/>
      <c r="W98" s="65"/>
      <c r="X98" s="72"/>
      <c r="Y98" s="66"/>
      <c r="Z98" s="46"/>
      <c r="AA98" s="66"/>
    </row>
    <row r="99" spans="3:27" x14ac:dyDescent="0.2">
      <c r="C99" s="69">
        <f t="shared" ca="1" si="22"/>
        <v>46023</v>
      </c>
      <c r="D99" s="70">
        <f t="shared" ca="1" si="23"/>
        <v>41</v>
      </c>
      <c r="E99" s="69">
        <f t="shared" ca="1" si="27"/>
        <v>46369</v>
      </c>
      <c r="F99" s="65" t="s">
        <v>85</v>
      </c>
      <c r="G99" s="65"/>
      <c r="H99" s="122">
        <f t="shared" si="24"/>
        <v>80</v>
      </c>
      <c r="I99" s="123">
        <f t="shared" si="28"/>
        <v>-2260607.1882033879</v>
      </c>
      <c r="J99" s="58">
        <f t="shared" si="17"/>
        <v>1363565.0449120577</v>
      </c>
      <c r="K99" s="51">
        <f t="shared" si="25"/>
        <v>897042.1432913302</v>
      </c>
      <c r="L99" s="51">
        <f t="shared" si="18"/>
        <v>148740243.77473196</v>
      </c>
      <c r="M99" s="58">
        <f t="shared" si="19"/>
        <v>0</v>
      </c>
      <c r="N99" s="58">
        <f t="shared" ca="1" si="20"/>
        <v>-40551.704483784306</v>
      </c>
      <c r="O99" s="58">
        <f t="shared" si="21"/>
        <v>-198000</v>
      </c>
      <c r="P99" s="121">
        <f t="shared" si="29"/>
        <v>80</v>
      </c>
      <c r="Q99" s="124">
        <f t="shared" ca="1" si="26"/>
        <v>-2499158.8926871722</v>
      </c>
      <c r="R99" s="46"/>
      <c r="W99" s="65"/>
      <c r="X99" s="72"/>
      <c r="Y99" s="66"/>
      <c r="Z99" s="46"/>
      <c r="AA99" s="66"/>
    </row>
    <row r="100" spans="3:27" x14ac:dyDescent="0.2">
      <c r="C100" s="69">
        <f t="shared" ca="1" si="22"/>
        <v>46388</v>
      </c>
      <c r="D100" s="70">
        <f t="shared" ca="1" si="23"/>
        <v>42</v>
      </c>
      <c r="E100" s="69">
        <f t="shared" ca="1" si="27"/>
        <v>46400</v>
      </c>
      <c r="F100" s="65" t="s">
        <v>86</v>
      </c>
      <c r="G100" s="65"/>
      <c r="H100" s="122">
        <f t="shared" si="24"/>
        <v>81</v>
      </c>
      <c r="I100" s="123">
        <f t="shared" si="28"/>
        <v>-2260607.1882033879</v>
      </c>
      <c r="J100" s="58">
        <f t="shared" si="17"/>
        <v>1355390.7766947423</v>
      </c>
      <c r="K100" s="51">
        <f t="shared" si="25"/>
        <v>905216.41150864563</v>
      </c>
      <c r="L100" s="51">
        <f t="shared" si="18"/>
        <v>147835027.36322331</v>
      </c>
      <c r="M100" s="58">
        <f t="shared" si="19"/>
        <v>0</v>
      </c>
      <c r="N100" s="58">
        <f t="shared" ca="1" si="20"/>
        <v>-50274.2023958594</v>
      </c>
      <c r="O100" s="58">
        <f t="shared" si="21"/>
        <v>-198000</v>
      </c>
      <c r="P100" s="121">
        <f t="shared" si="29"/>
        <v>81</v>
      </c>
      <c r="Q100" s="124">
        <f t="shared" ca="1" si="26"/>
        <v>-2508881.3905992471</v>
      </c>
      <c r="R100" s="46"/>
      <c r="W100" s="65"/>
      <c r="X100" s="72"/>
      <c r="Y100" s="66"/>
      <c r="Z100" s="46"/>
      <c r="AA100" s="66"/>
    </row>
    <row r="101" spans="3:27" x14ac:dyDescent="0.2">
      <c r="C101" s="69">
        <f t="shared" ca="1" si="22"/>
        <v>46388</v>
      </c>
      <c r="D101" s="70">
        <f t="shared" ca="1" si="23"/>
        <v>42</v>
      </c>
      <c r="E101" s="69">
        <f t="shared" ca="1" si="27"/>
        <v>46431</v>
      </c>
      <c r="F101" s="65" t="s">
        <v>87</v>
      </c>
      <c r="G101" s="65"/>
      <c r="H101" s="122">
        <f t="shared" si="24"/>
        <v>82</v>
      </c>
      <c r="I101" s="123">
        <f t="shared" si="28"/>
        <v>-2260607.1882033879</v>
      </c>
      <c r="J101" s="58">
        <f t="shared" si="17"/>
        <v>1347142.0207163016</v>
      </c>
      <c r="K101" s="51">
        <f t="shared" si="25"/>
        <v>913465.16748708626</v>
      </c>
      <c r="L101" s="51">
        <f t="shared" si="18"/>
        <v>146921562.19573623</v>
      </c>
      <c r="M101" s="58">
        <f t="shared" si="19"/>
        <v>0</v>
      </c>
      <c r="N101" s="58">
        <f t="shared" ca="1" si="20"/>
        <v>-49968.239248769474</v>
      </c>
      <c r="O101" s="58">
        <f t="shared" si="21"/>
        <v>-198000</v>
      </c>
      <c r="P101" s="121">
        <f t="shared" si="29"/>
        <v>82</v>
      </c>
      <c r="Q101" s="124">
        <f t="shared" ca="1" si="26"/>
        <v>-2508575.4274521573</v>
      </c>
      <c r="R101" s="46"/>
      <c r="W101" s="65"/>
      <c r="X101" s="72"/>
      <c r="Y101" s="66"/>
      <c r="Z101" s="46"/>
      <c r="AA101" s="66"/>
    </row>
    <row r="102" spans="3:27" x14ac:dyDescent="0.2">
      <c r="C102" s="69">
        <f t="shared" ca="1" si="22"/>
        <v>46388</v>
      </c>
      <c r="D102" s="70">
        <f t="shared" ca="1" si="23"/>
        <v>42</v>
      </c>
      <c r="E102" s="69">
        <f t="shared" ca="1" si="27"/>
        <v>46459</v>
      </c>
      <c r="F102" s="65" t="s">
        <v>88</v>
      </c>
      <c r="G102" s="65"/>
      <c r="H102" s="122">
        <f t="shared" si="24"/>
        <v>83</v>
      </c>
      <c r="I102" s="123">
        <f t="shared" si="28"/>
        <v>-2260607.1882033879</v>
      </c>
      <c r="J102" s="58">
        <f t="shared" si="17"/>
        <v>1338818.0982093636</v>
      </c>
      <c r="K102" s="51">
        <f t="shared" si="25"/>
        <v>921789.08999402425</v>
      </c>
      <c r="L102" s="51">
        <f t="shared" si="18"/>
        <v>145999773.10574222</v>
      </c>
      <c r="M102" s="58">
        <f t="shared" si="19"/>
        <v>0</v>
      </c>
      <c r="N102" s="58">
        <f t="shared" ca="1" si="20"/>
        <v>-49659.488022158839</v>
      </c>
      <c r="O102" s="58">
        <f t="shared" si="21"/>
        <v>-198000</v>
      </c>
      <c r="P102" s="121">
        <f t="shared" si="29"/>
        <v>83</v>
      </c>
      <c r="Q102" s="124">
        <f t="shared" ca="1" si="26"/>
        <v>-2508266.6762255467</v>
      </c>
      <c r="R102" s="46"/>
      <c r="W102" s="65"/>
      <c r="X102" s="72"/>
      <c r="Y102" s="66"/>
      <c r="Z102" s="46"/>
      <c r="AA102" s="66"/>
    </row>
    <row r="103" spans="3:27" x14ac:dyDescent="0.2">
      <c r="C103" s="69">
        <f t="shared" ca="1" si="22"/>
        <v>46388</v>
      </c>
      <c r="D103" s="70">
        <f t="shared" ca="1" si="23"/>
        <v>42</v>
      </c>
      <c r="E103" s="69">
        <f t="shared" ca="1" si="27"/>
        <v>46490</v>
      </c>
      <c r="F103" s="65" t="s">
        <v>89</v>
      </c>
      <c r="G103" s="65"/>
      <c r="H103" s="122">
        <f t="shared" si="24"/>
        <v>84</v>
      </c>
      <c r="I103" s="123">
        <f t="shared" si="28"/>
        <v>-2260607.1882033879</v>
      </c>
      <c r="J103" s="58">
        <f t="shared" si="17"/>
        <v>1330418.3242213102</v>
      </c>
      <c r="K103" s="51">
        <f t="shared" si="25"/>
        <v>930188.86398207769</v>
      </c>
      <c r="L103" s="51">
        <f t="shared" si="18"/>
        <v>145069584.24176013</v>
      </c>
      <c r="M103" s="58">
        <f t="shared" si="19"/>
        <v>0</v>
      </c>
      <c r="N103" s="58">
        <f t="shared" ca="1" si="20"/>
        <v>-49347.923309740865</v>
      </c>
      <c r="O103" s="58">
        <f t="shared" si="21"/>
        <v>-198000</v>
      </c>
      <c r="P103" s="121">
        <f t="shared" si="29"/>
        <v>84</v>
      </c>
      <c r="Q103" s="124">
        <f t="shared" ca="1" si="26"/>
        <v>-2507955.111513129</v>
      </c>
      <c r="R103" s="46"/>
      <c r="W103" s="65"/>
      <c r="X103" s="72"/>
      <c r="Y103" s="66"/>
      <c r="Z103" s="46"/>
      <c r="AA103" s="66"/>
    </row>
    <row r="104" spans="3:27" x14ac:dyDescent="0.2">
      <c r="C104" s="69">
        <f t="shared" ca="1" si="22"/>
        <v>46388</v>
      </c>
      <c r="D104" s="70">
        <f t="shared" ca="1" si="23"/>
        <v>42</v>
      </c>
      <c r="E104" s="69">
        <f t="shared" ca="1" si="27"/>
        <v>46520</v>
      </c>
      <c r="F104" s="65" t="s">
        <v>110</v>
      </c>
      <c r="G104" s="65"/>
      <c r="H104" s="122">
        <f t="shared" si="24"/>
        <v>85</v>
      </c>
      <c r="I104" s="123">
        <f t="shared" si="28"/>
        <v>-2260607.1882033879</v>
      </c>
      <c r="J104" s="58">
        <f t="shared" si="17"/>
        <v>1321942.0075579134</v>
      </c>
      <c r="K104" s="51">
        <f t="shared" si="25"/>
        <v>938665.18064547447</v>
      </c>
      <c r="L104" s="51">
        <f t="shared" si="18"/>
        <v>144130919.06111467</v>
      </c>
      <c r="M104" s="58">
        <f t="shared" si="19"/>
        <v>0</v>
      </c>
      <c r="N104" s="58">
        <f t="shared" ca="1" si="20"/>
        <v>-49033.519473714921</v>
      </c>
      <c r="O104" s="58">
        <f t="shared" si="21"/>
        <v>-198000</v>
      </c>
      <c r="P104" s="121">
        <f t="shared" si="29"/>
        <v>85</v>
      </c>
      <c r="Q104" s="124">
        <f t="shared" ca="1" si="26"/>
        <v>-2507640.7076771026</v>
      </c>
      <c r="R104" s="46"/>
      <c r="W104" s="65"/>
      <c r="X104" s="72"/>
      <c r="Y104" s="66"/>
      <c r="Z104" s="46"/>
      <c r="AA104" s="66"/>
    </row>
    <row r="105" spans="3:27" x14ac:dyDescent="0.2">
      <c r="C105" s="69">
        <f t="shared" ca="1" si="22"/>
        <v>46388</v>
      </c>
      <c r="D105" s="70">
        <f t="shared" ca="1" si="23"/>
        <v>42</v>
      </c>
      <c r="E105" s="69">
        <f t="shared" ca="1" si="27"/>
        <v>46551</v>
      </c>
      <c r="F105" s="65" t="s">
        <v>111</v>
      </c>
      <c r="G105" s="65"/>
      <c r="H105" s="122">
        <f t="shared" si="24"/>
        <v>86</v>
      </c>
      <c r="I105" s="123">
        <f t="shared" si="28"/>
        <v>-2260607.1882033879</v>
      </c>
      <c r="J105" s="58">
        <f t="shared" si="17"/>
        <v>1313388.4507264602</v>
      </c>
      <c r="K105" s="51">
        <f t="shared" si="25"/>
        <v>947218.73747692769</v>
      </c>
      <c r="L105" s="51">
        <f t="shared" si="18"/>
        <v>143183700.32363775</v>
      </c>
      <c r="M105" s="58">
        <f t="shared" si="19"/>
        <v>0</v>
      </c>
      <c r="N105" s="58">
        <f t="shared" ca="1" si="20"/>
        <v>-48716.250642656756</v>
      </c>
      <c r="O105" s="58">
        <f t="shared" si="21"/>
        <v>-198000</v>
      </c>
      <c r="P105" s="121">
        <f t="shared" si="29"/>
        <v>86</v>
      </c>
      <c r="Q105" s="124">
        <f t="shared" ca="1" si="26"/>
        <v>-2507323.4388460447</v>
      </c>
      <c r="R105" s="46"/>
      <c r="W105" s="65"/>
      <c r="X105" s="72"/>
      <c r="Y105" s="66"/>
      <c r="Z105" s="46"/>
      <c r="AA105" s="66"/>
    </row>
    <row r="106" spans="3:27" x14ac:dyDescent="0.2">
      <c r="C106" s="69">
        <f t="shared" ca="1" si="22"/>
        <v>46388</v>
      </c>
      <c r="D106" s="70">
        <f t="shared" ca="1" si="23"/>
        <v>42</v>
      </c>
      <c r="E106" s="69">
        <f t="shared" ca="1" si="27"/>
        <v>46581</v>
      </c>
      <c r="F106" s="65" t="s">
        <v>112</v>
      </c>
      <c r="G106" s="65"/>
      <c r="H106" s="122">
        <f t="shared" si="24"/>
        <v>87</v>
      </c>
      <c r="I106" s="123">
        <f t="shared" si="28"/>
        <v>-2260607.1882033879</v>
      </c>
      <c r="J106" s="58">
        <f t="shared" si="17"/>
        <v>1304756.9498783571</v>
      </c>
      <c r="K106" s="51">
        <f t="shared" si="25"/>
        <v>955850.23832503078</v>
      </c>
      <c r="L106" s="51">
        <f t="shared" si="18"/>
        <v>142227850.08531272</v>
      </c>
      <c r="M106" s="58">
        <f t="shared" si="19"/>
        <v>0</v>
      </c>
      <c r="N106" s="58">
        <f t="shared" ca="1" si="20"/>
        <v>-48396.090709389558</v>
      </c>
      <c r="O106" s="58">
        <f t="shared" si="21"/>
        <v>-198000</v>
      </c>
      <c r="P106" s="121">
        <f t="shared" si="29"/>
        <v>87</v>
      </c>
      <c r="Q106" s="124">
        <f t="shared" ca="1" si="26"/>
        <v>-2507003.2789127775</v>
      </c>
      <c r="R106" s="46"/>
      <c r="W106" s="65"/>
      <c r="X106" s="72"/>
      <c r="Y106" s="66"/>
      <c r="Z106" s="46"/>
      <c r="AA106" s="66"/>
    </row>
    <row r="107" spans="3:27" x14ac:dyDescent="0.2">
      <c r="C107" s="69">
        <f t="shared" ca="1" si="22"/>
        <v>46388</v>
      </c>
      <c r="D107" s="70">
        <f t="shared" ca="1" si="23"/>
        <v>42</v>
      </c>
      <c r="E107" s="69">
        <f t="shared" ca="1" si="27"/>
        <v>46612</v>
      </c>
      <c r="F107" s="65" t="s">
        <v>113</v>
      </c>
      <c r="G107" s="65"/>
      <c r="H107" s="122">
        <f t="shared" si="24"/>
        <v>88</v>
      </c>
      <c r="I107" s="123">
        <f t="shared" si="28"/>
        <v>-2260607.1882033879</v>
      </c>
      <c r="J107" s="58">
        <f t="shared" si="17"/>
        <v>1296046.7947512127</v>
      </c>
      <c r="K107" s="51">
        <f t="shared" si="25"/>
        <v>964560.39345217519</v>
      </c>
      <c r="L107" s="51">
        <f t="shared" si="18"/>
        <v>141263289.69186056</v>
      </c>
      <c r="M107" s="58">
        <f t="shared" si="19"/>
        <v>0</v>
      </c>
      <c r="N107" s="58">
        <f t="shared" ca="1" si="20"/>
        <v>-48073.013328835696</v>
      </c>
      <c r="O107" s="58">
        <f t="shared" si="21"/>
        <v>-198000</v>
      </c>
      <c r="P107" s="121">
        <f t="shared" si="29"/>
        <v>88</v>
      </c>
      <c r="Q107" s="124">
        <f t="shared" ca="1" si="26"/>
        <v>-2506680.2015322237</v>
      </c>
      <c r="R107" s="46"/>
      <c r="W107" s="65"/>
      <c r="X107" s="72"/>
      <c r="Y107" s="66"/>
      <c r="Z107" s="46"/>
      <c r="AA107" s="66"/>
    </row>
    <row r="108" spans="3:27" x14ac:dyDescent="0.2">
      <c r="C108" s="69">
        <f t="shared" ca="1" si="22"/>
        <v>46388</v>
      </c>
      <c r="D108" s="70">
        <f t="shared" ca="1" si="23"/>
        <v>42</v>
      </c>
      <c r="E108" s="69">
        <f t="shared" ca="1" si="27"/>
        <v>46643</v>
      </c>
      <c r="F108" s="65" t="s">
        <v>114</v>
      </c>
      <c r="G108" s="65"/>
      <c r="H108" s="122">
        <f t="shared" si="24"/>
        <v>89</v>
      </c>
      <c r="I108" s="123">
        <f t="shared" si="28"/>
        <v>-2260607.1882033879</v>
      </c>
      <c r="J108" s="58">
        <f t="shared" si="17"/>
        <v>1287257.2686103915</v>
      </c>
      <c r="K108" s="51">
        <f t="shared" si="25"/>
        <v>973349.91959299636</v>
      </c>
      <c r="L108" s="51">
        <f t="shared" si="18"/>
        <v>140289939.77226755</v>
      </c>
      <c r="M108" s="58">
        <f t="shared" si="19"/>
        <v>0</v>
      </c>
      <c r="N108" s="58">
        <f t="shared" ca="1" si="20"/>
        <v>-47746.991915848863</v>
      </c>
      <c r="O108" s="58">
        <f t="shared" si="21"/>
        <v>-198000</v>
      </c>
      <c r="P108" s="121">
        <f t="shared" si="29"/>
        <v>89</v>
      </c>
      <c r="Q108" s="124">
        <f t="shared" ca="1" si="26"/>
        <v>-2506354.1801192369</v>
      </c>
      <c r="R108" s="46"/>
      <c r="W108" s="65"/>
      <c r="X108" s="72"/>
      <c r="Y108" s="66"/>
      <c r="Z108" s="46"/>
      <c r="AA108" s="66"/>
    </row>
    <row r="109" spans="3:27" x14ac:dyDescent="0.2">
      <c r="C109" s="69">
        <f t="shared" ca="1" si="22"/>
        <v>46388</v>
      </c>
      <c r="D109" s="70">
        <f t="shared" ca="1" si="23"/>
        <v>42</v>
      </c>
      <c r="E109" s="69">
        <f t="shared" ca="1" si="27"/>
        <v>46673</v>
      </c>
      <c r="F109" s="65" t="s">
        <v>115</v>
      </c>
      <c r="G109" s="65"/>
      <c r="H109" s="122">
        <f t="shared" si="24"/>
        <v>90</v>
      </c>
      <c r="I109" s="123">
        <f t="shared" si="28"/>
        <v>-2260607.1882033879</v>
      </c>
      <c r="J109" s="58">
        <f t="shared" si="17"/>
        <v>1278387.6481900364</v>
      </c>
      <c r="K109" s="51">
        <f t="shared" si="25"/>
        <v>982219.54001335148</v>
      </c>
      <c r="L109" s="51">
        <f t="shared" si="18"/>
        <v>139307720.23225421</v>
      </c>
      <c r="M109" s="58">
        <f t="shared" si="19"/>
        <v>0</v>
      </c>
      <c r="N109" s="58">
        <f t="shared" ca="1" si="20"/>
        <v>-47417.999643026429</v>
      </c>
      <c r="O109" s="58">
        <f t="shared" si="21"/>
        <v>-198000</v>
      </c>
      <c r="P109" s="121">
        <f t="shared" si="29"/>
        <v>90</v>
      </c>
      <c r="Q109" s="124">
        <f t="shared" ca="1" si="26"/>
        <v>-2506025.1878464143</v>
      </c>
      <c r="R109" s="46"/>
      <c r="W109" s="65"/>
      <c r="X109" s="72"/>
      <c r="Y109" s="66"/>
      <c r="Z109" s="46"/>
      <c r="AA109" s="66"/>
    </row>
    <row r="110" spans="3:27" x14ac:dyDescent="0.2">
      <c r="C110" s="69">
        <f t="shared" ca="1" si="22"/>
        <v>46388</v>
      </c>
      <c r="D110" s="70">
        <f t="shared" ca="1" si="23"/>
        <v>42</v>
      </c>
      <c r="E110" s="69">
        <f t="shared" ca="1" si="27"/>
        <v>46704</v>
      </c>
      <c r="F110" s="65" t="s">
        <v>116</v>
      </c>
      <c r="G110" s="65"/>
      <c r="H110" s="122">
        <f t="shared" si="24"/>
        <v>91</v>
      </c>
      <c r="I110" s="123">
        <f t="shared" si="28"/>
        <v>-2260607.1882033879</v>
      </c>
      <c r="J110" s="58">
        <f t="shared" si="17"/>
        <v>1269437.203633554</v>
      </c>
      <c r="K110" s="51">
        <f t="shared" si="25"/>
        <v>991169.98456983385</v>
      </c>
      <c r="L110" s="51">
        <f t="shared" si="18"/>
        <v>138316550.24768436</v>
      </c>
      <c r="M110" s="58">
        <f t="shared" si="19"/>
        <v>0</v>
      </c>
      <c r="N110" s="58">
        <f t="shared" ca="1" si="20"/>
        <v>-47086.009438501918</v>
      </c>
      <c r="O110" s="58">
        <f t="shared" si="21"/>
        <v>-198000</v>
      </c>
      <c r="P110" s="121">
        <f t="shared" si="29"/>
        <v>91</v>
      </c>
      <c r="Q110" s="124">
        <f t="shared" ca="1" si="26"/>
        <v>-2505693.19764189</v>
      </c>
      <c r="R110" s="46"/>
      <c r="W110" s="65"/>
      <c r="X110" s="72"/>
      <c r="Y110" s="66"/>
      <c r="Z110" s="46"/>
      <c r="AA110" s="66"/>
    </row>
    <row r="111" spans="3:27" x14ac:dyDescent="0.2">
      <c r="C111" s="69">
        <f t="shared" ca="1" si="22"/>
        <v>46388</v>
      </c>
      <c r="D111" s="70">
        <f t="shared" ca="1" si="23"/>
        <v>42</v>
      </c>
      <c r="E111" s="69">
        <f t="shared" ca="1" si="27"/>
        <v>46734</v>
      </c>
      <c r="F111" s="65" t="s">
        <v>117</v>
      </c>
      <c r="G111" s="65"/>
      <c r="H111" s="122">
        <f t="shared" si="24"/>
        <v>92</v>
      </c>
      <c r="I111" s="123">
        <f t="shared" si="28"/>
        <v>-2260607.1882033879</v>
      </c>
      <c r="J111" s="58">
        <f t="shared" si="17"/>
        <v>1260405.198433554</v>
      </c>
      <c r="K111" s="51">
        <f t="shared" si="25"/>
        <v>1000201.9897698339</v>
      </c>
      <c r="L111" s="51">
        <f t="shared" si="18"/>
        <v>137316348.25791451</v>
      </c>
      <c r="M111" s="58">
        <f t="shared" si="19"/>
        <v>0</v>
      </c>
      <c r="N111" s="58">
        <f t="shared" ca="1" si="20"/>
        <v>-46750.993983717308</v>
      </c>
      <c r="O111" s="58">
        <f t="shared" si="21"/>
        <v>-198000</v>
      </c>
      <c r="P111" s="121">
        <f t="shared" si="29"/>
        <v>92</v>
      </c>
      <c r="Q111" s="124">
        <f t="shared" ca="1" si="26"/>
        <v>-2505358.1821871051</v>
      </c>
      <c r="R111" s="46"/>
      <c r="W111" s="65"/>
      <c r="X111" s="72"/>
      <c r="Y111" s="66"/>
      <c r="Z111" s="46"/>
      <c r="AA111" s="66"/>
    </row>
    <row r="112" spans="3:27" x14ac:dyDescent="0.2">
      <c r="C112" s="69">
        <f t="shared" ca="1" si="22"/>
        <v>46753</v>
      </c>
      <c r="D112" s="70">
        <f t="shared" ca="1" si="23"/>
        <v>43</v>
      </c>
      <c r="E112" s="69">
        <f t="shared" ca="1" si="27"/>
        <v>46765</v>
      </c>
      <c r="F112" s="65" t="s">
        <v>118</v>
      </c>
      <c r="G112" s="65"/>
      <c r="H112" s="122">
        <f t="shared" si="24"/>
        <v>93</v>
      </c>
      <c r="I112" s="123">
        <f t="shared" si="28"/>
        <v>-2260607.1882033879</v>
      </c>
      <c r="J112" s="58">
        <f t="shared" si="17"/>
        <v>1251290.889371247</v>
      </c>
      <c r="K112" s="51">
        <f t="shared" si="25"/>
        <v>1009316.2988321409</v>
      </c>
      <c r="L112" s="51">
        <f t="shared" si="18"/>
        <v>136307031.95908237</v>
      </c>
      <c r="M112" s="58">
        <f t="shared" si="19"/>
        <v>0</v>
      </c>
      <c r="N112" s="58">
        <f t="shared" ca="1" si="20"/>
        <v>-44902.44588033804</v>
      </c>
      <c r="O112" s="58">
        <f t="shared" si="21"/>
        <v>-198000</v>
      </c>
      <c r="P112" s="121">
        <f t="shared" si="29"/>
        <v>93</v>
      </c>
      <c r="Q112" s="124">
        <f t="shared" ca="1" si="26"/>
        <v>-2503509.634083726</v>
      </c>
      <c r="R112" s="46"/>
      <c r="W112" s="65"/>
      <c r="X112" s="72"/>
      <c r="Y112" s="66"/>
      <c r="Z112" s="46"/>
      <c r="AA112" s="66"/>
    </row>
    <row r="113" spans="3:27" x14ac:dyDescent="0.2">
      <c r="C113" s="69">
        <f t="shared" ca="1" si="22"/>
        <v>46753</v>
      </c>
      <c r="D113" s="70">
        <f t="shared" ca="1" si="23"/>
        <v>43</v>
      </c>
      <c r="E113" s="69">
        <f t="shared" ca="1" si="27"/>
        <v>46796</v>
      </c>
      <c r="F113" s="65" t="s">
        <v>119</v>
      </c>
      <c r="G113" s="65"/>
      <c r="H113" s="122">
        <f t="shared" si="24"/>
        <v>94</v>
      </c>
      <c r="I113" s="123">
        <f t="shared" si="28"/>
        <v>-2260607.1882033879</v>
      </c>
      <c r="J113" s="58">
        <f t="shared" si="17"/>
        <v>1242093.5264552857</v>
      </c>
      <c r="K113" s="51">
        <f t="shared" si="25"/>
        <v>1018513.6617481022</v>
      </c>
      <c r="L113" s="51">
        <f t="shared" si="18"/>
        <v>135288518.29733425</v>
      </c>
      <c r="M113" s="58">
        <f t="shared" si="19"/>
        <v>0</v>
      </c>
      <c r="N113" s="58">
        <f t="shared" ca="1" si="20"/>
        <v>-44572.399450619931</v>
      </c>
      <c r="O113" s="58">
        <f t="shared" si="21"/>
        <v>-198000</v>
      </c>
      <c r="P113" s="121">
        <f t="shared" si="29"/>
        <v>94</v>
      </c>
      <c r="Q113" s="124">
        <f t="shared" ca="1" si="26"/>
        <v>-2503179.5876540076</v>
      </c>
      <c r="R113" s="46"/>
      <c r="W113" s="65"/>
      <c r="X113" s="72"/>
      <c r="Y113" s="66"/>
      <c r="Z113" s="46"/>
      <c r="AA113" s="66"/>
    </row>
    <row r="114" spans="3:27" x14ac:dyDescent="0.2">
      <c r="C114" s="69">
        <f t="shared" ca="1" si="22"/>
        <v>46753</v>
      </c>
      <c r="D114" s="70">
        <f t="shared" ca="1" si="23"/>
        <v>43</v>
      </c>
      <c r="E114" s="69">
        <f t="shared" ca="1" si="27"/>
        <v>46825</v>
      </c>
      <c r="F114" s="65" t="s">
        <v>120</v>
      </c>
      <c r="G114" s="65"/>
      <c r="H114" s="122">
        <f t="shared" si="24"/>
        <v>95</v>
      </c>
      <c r="I114" s="123">
        <f t="shared" si="28"/>
        <v>-2260607.1882033879</v>
      </c>
      <c r="J114" s="58">
        <f t="shared" si="17"/>
        <v>1232812.35286005</v>
      </c>
      <c r="K114" s="51">
        <f t="shared" si="25"/>
        <v>1027794.8353433379</v>
      </c>
      <c r="L114" s="51">
        <f t="shared" si="18"/>
        <v>134260723.46199092</v>
      </c>
      <c r="M114" s="58">
        <f t="shared" si="19"/>
        <v>0</v>
      </c>
      <c r="N114" s="58">
        <f t="shared" ca="1" si="20"/>
        <v>-44239.345483228295</v>
      </c>
      <c r="O114" s="58">
        <f t="shared" si="21"/>
        <v>-198000</v>
      </c>
      <c r="P114" s="121">
        <f t="shared" si="29"/>
        <v>95</v>
      </c>
      <c r="Q114" s="124">
        <f t="shared" ca="1" si="26"/>
        <v>-2502846.533686616</v>
      </c>
      <c r="R114" s="46"/>
      <c r="W114" s="65"/>
      <c r="X114" s="72"/>
      <c r="Y114" s="66"/>
      <c r="Z114" s="46"/>
      <c r="AA114" s="66"/>
    </row>
    <row r="115" spans="3:27" x14ac:dyDescent="0.2">
      <c r="C115" s="69">
        <f t="shared" ca="1" si="22"/>
        <v>46753</v>
      </c>
      <c r="D115" s="70">
        <f t="shared" ca="1" si="23"/>
        <v>43</v>
      </c>
      <c r="E115" s="69">
        <f t="shared" ca="1" si="27"/>
        <v>46856</v>
      </c>
      <c r="F115" s="65" t="s">
        <v>121</v>
      </c>
      <c r="G115" s="65"/>
      <c r="H115" s="122">
        <f t="shared" si="24"/>
        <v>96</v>
      </c>
      <c r="I115" s="123">
        <f t="shared" si="28"/>
        <v>-2260607.1882033879</v>
      </c>
      <c r="J115" s="58">
        <f t="shared" si="17"/>
        <v>1223446.6048633703</v>
      </c>
      <c r="K115" s="51">
        <f t="shared" si="25"/>
        <v>1037160.5833400176</v>
      </c>
      <c r="L115" s="51">
        <f t="shared" si="18"/>
        <v>133223562.8786509</v>
      </c>
      <c r="M115" s="58">
        <f t="shared" si="19"/>
        <v>0</v>
      </c>
      <c r="N115" s="58">
        <f t="shared" ca="1" si="20"/>
        <v>-43903.256572071026</v>
      </c>
      <c r="O115" s="58">
        <f t="shared" si="21"/>
        <v>-198000</v>
      </c>
      <c r="P115" s="121">
        <f t="shared" si="29"/>
        <v>96</v>
      </c>
      <c r="Q115" s="124">
        <f t="shared" ca="1" si="26"/>
        <v>-2502510.4447754589</v>
      </c>
      <c r="R115" s="46"/>
      <c r="W115" s="65"/>
      <c r="X115" s="72"/>
      <c r="Y115" s="66"/>
      <c r="Z115" s="46"/>
      <c r="AA115" s="66"/>
    </row>
    <row r="116" spans="3:27" x14ac:dyDescent="0.2">
      <c r="C116" s="69">
        <f t="shared" ca="1" si="22"/>
        <v>46753</v>
      </c>
      <c r="D116" s="70">
        <f t="shared" ca="1" si="23"/>
        <v>43</v>
      </c>
      <c r="E116" s="69">
        <f t="shared" ca="1" si="27"/>
        <v>46886</v>
      </c>
      <c r="F116" s="65" t="s">
        <v>122</v>
      </c>
      <c r="G116" s="65"/>
      <c r="H116" s="122">
        <f t="shared" si="24"/>
        <v>97</v>
      </c>
      <c r="I116" s="123">
        <f t="shared" si="28"/>
        <v>-2260607.1882033879</v>
      </c>
      <c r="J116" s="58">
        <f t="shared" si="17"/>
        <v>1213995.5117836827</v>
      </c>
      <c r="K116" s="51">
        <f t="shared" si="25"/>
        <v>1046611.6764197052</v>
      </c>
      <c r="L116" s="51">
        <f t="shared" si="18"/>
        <v>132176951.2022312</v>
      </c>
      <c r="M116" s="58">
        <f t="shared" si="19"/>
        <v>0</v>
      </c>
      <c r="N116" s="58">
        <f t="shared" ca="1" si="20"/>
        <v>-43564.105061318842</v>
      </c>
      <c r="O116" s="58">
        <f t="shared" si="21"/>
        <v>-198000</v>
      </c>
      <c r="P116" s="121">
        <f t="shared" si="29"/>
        <v>97</v>
      </c>
      <c r="Q116" s="124">
        <f t="shared" ca="1" si="26"/>
        <v>-2502171.2932647066</v>
      </c>
      <c r="R116" s="46"/>
      <c r="W116" s="65"/>
      <c r="X116" s="72"/>
      <c r="Y116" s="66"/>
      <c r="Z116" s="46"/>
      <c r="AA116" s="66"/>
    </row>
    <row r="117" spans="3:27" x14ac:dyDescent="0.2">
      <c r="C117" s="69">
        <f t="shared" ca="1" si="22"/>
        <v>46753</v>
      </c>
      <c r="D117" s="70">
        <f t="shared" ca="1" si="23"/>
        <v>43</v>
      </c>
      <c r="E117" s="69">
        <f t="shared" ca="1" si="27"/>
        <v>46917</v>
      </c>
      <c r="F117" s="65" t="s">
        <v>123</v>
      </c>
      <c r="G117" s="65"/>
      <c r="H117" s="122">
        <f t="shared" si="24"/>
        <v>98</v>
      </c>
      <c r="I117" s="123">
        <f t="shared" si="28"/>
        <v>-2260607.1882033879</v>
      </c>
      <c r="J117" s="58">
        <f t="shared" si="17"/>
        <v>1204458.2959166125</v>
      </c>
      <c r="K117" s="51">
        <f t="shared" si="25"/>
        <v>1056148.8922867754</v>
      </c>
      <c r="L117" s="51">
        <f t="shared" si="18"/>
        <v>131120802.30994442</v>
      </c>
      <c r="M117" s="58">
        <f t="shared" si="19"/>
        <v>0</v>
      </c>
      <c r="N117" s="58">
        <f t="shared" ca="1" si="20"/>
        <v>-43221.863043129597</v>
      </c>
      <c r="O117" s="58">
        <f t="shared" si="21"/>
        <v>-198000</v>
      </c>
      <c r="P117" s="121">
        <f t="shared" si="29"/>
        <v>98</v>
      </c>
      <c r="Q117" s="124">
        <f t="shared" ca="1" si="26"/>
        <v>-2501829.0512465173</v>
      </c>
      <c r="R117" s="46"/>
      <c r="W117" s="65"/>
      <c r="X117" s="72"/>
      <c r="Y117" s="66"/>
      <c r="Z117" s="46"/>
      <c r="AA117" s="66"/>
    </row>
    <row r="118" spans="3:27" x14ac:dyDescent="0.2">
      <c r="C118" s="69">
        <f t="shared" ca="1" si="22"/>
        <v>46753</v>
      </c>
      <c r="D118" s="70">
        <f t="shared" ca="1" si="23"/>
        <v>43</v>
      </c>
      <c r="E118" s="69">
        <f t="shared" ca="1" si="27"/>
        <v>46947</v>
      </c>
      <c r="F118" s="65" t="s">
        <v>124</v>
      </c>
      <c r="G118" s="65"/>
      <c r="H118" s="122">
        <f t="shared" si="24"/>
        <v>99</v>
      </c>
      <c r="I118" s="123">
        <f t="shared" si="28"/>
        <v>-2260607.1882033879</v>
      </c>
      <c r="J118" s="58">
        <f t="shared" si="17"/>
        <v>1194834.1724709773</v>
      </c>
      <c r="K118" s="51">
        <f t="shared" si="25"/>
        <v>1065773.0157324106</v>
      </c>
      <c r="L118" s="51">
        <f t="shared" si="18"/>
        <v>130055029.29421201</v>
      </c>
      <c r="M118" s="58">
        <f t="shared" si="19"/>
        <v>0</v>
      </c>
      <c r="N118" s="58">
        <f t="shared" ca="1" si="20"/>
        <v>-42876.502355351826</v>
      </c>
      <c r="O118" s="58">
        <f t="shared" si="21"/>
        <v>-198000</v>
      </c>
      <c r="P118" s="121">
        <f t="shared" si="29"/>
        <v>99</v>
      </c>
      <c r="Q118" s="124">
        <f t="shared" ca="1" si="26"/>
        <v>-2501483.6905587399</v>
      </c>
      <c r="R118" s="46"/>
      <c r="W118" s="65"/>
      <c r="X118" s="72"/>
      <c r="Y118" s="66"/>
      <c r="Z118" s="46"/>
      <c r="AA118" s="66"/>
    </row>
    <row r="119" spans="3:27" x14ac:dyDescent="0.2">
      <c r="C119" s="69">
        <f t="shared" ca="1" si="22"/>
        <v>46753</v>
      </c>
      <c r="D119" s="70">
        <f t="shared" ca="1" si="23"/>
        <v>43</v>
      </c>
      <c r="E119" s="69">
        <f t="shared" ca="1" si="27"/>
        <v>46978</v>
      </c>
      <c r="F119" s="65" t="s">
        <v>125</v>
      </c>
      <c r="G119" s="65"/>
      <c r="H119" s="122">
        <f t="shared" si="24"/>
        <v>100</v>
      </c>
      <c r="I119" s="123">
        <f t="shared" si="28"/>
        <v>-2260607.1882033879</v>
      </c>
      <c r="J119" s="58">
        <f t="shared" si="17"/>
        <v>1185122.3495042112</v>
      </c>
      <c r="K119" s="51">
        <f t="shared" si="25"/>
        <v>1075484.8386991767</v>
      </c>
      <c r="L119" s="51">
        <f t="shared" si="18"/>
        <v>128979544.45551284</v>
      </c>
      <c r="M119" s="58">
        <f t="shared" si="19"/>
        <v>0</v>
      </c>
      <c r="N119" s="58">
        <f t="shared" ca="1" si="20"/>
        <v>-42527.994579207327</v>
      </c>
      <c r="O119" s="58">
        <f t="shared" si="21"/>
        <v>-198000</v>
      </c>
      <c r="P119" s="121">
        <f t="shared" si="29"/>
        <v>100</v>
      </c>
      <c r="Q119" s="124">
        <f t="shared" ca="1" si="26"/>
        <v>-2501135.182782595</v>
      </c>
      <c r="R119" s="46"/>
      <c r="W119" s="65"/>
      <c r="X119" s="72"/>
      <c r="Y119" s="66"/>
      <c r="Z119" s="46"/>
      <c r="AA119" s="66"/>
    </row>
    <row r="120" spans="3:27" x14ac:dyDescent="0.2">
      <c r="C120" s="69">
        <f t="shared" ca="1" si="22"/>
        <v>46753</v>
      </c>
      <c r="D120" s="70">
        <f t="shared" ca="1" si="23"/>
        <v>43</v>
      </c>
      <c r="E120" s="69">
        <f t="shared" ca="1" si="27"/>
        <v>47009</v>
      </c>
      <c r="F120" s="65" t="s">
        <v>126</v>
      </c>
      <c r="G120" s="65"/>
      <c r="H120" s="122">
        <f t="shared" si="24"/>
        <v>101</v>
      </c>
      <c r="I120" s="123">
        <f t="shared" si="28"/>
        <v>-2260607.1882033879</v>
      </c>
      <c r="J120" s="58">
        <f t="shared" si="17"/>
        <v>1175322.0278571956</v>
      </c>
      <c r="K120" s="51">
        <f t="shared" si="25"/>
        <v>1085285.1603461923</v>
      </c>
      <c r="L120" s="51">
        <f t="shared" si="18"/>
        <v>127894259.29516664</v>
      </c>
      <c r="M120" s="58">
        <f t="shared" si="19"/>
        <v>0</v>
      </c>
      <c r="N120" s="58">
        <f t="shared" ca="1" si="20"/>
        <v>-42176.311036952698</v>
      </c>
      <c r="O120" s="58">
        <f t="shared" si="21"/>
        <v>-198000</v>
      </c>
      <c r="P120" s="121">
        <f t="shared" si="29"/>
        <v>101</v>
      </c>
      <c r="Q120" s="124">
        <f t="shared" ca="1" si="26"/>
        <v>-2500783.4992403407</v>
      </c>
      <c r="R120" s="46"/>
      <c r="W120" s="65"/>
      <c r="X120" s="72"/>
      <c r="Y120" s="66"/>
      <c r="Z120" s="46"/>
      <c r="AA120" s="66"/>
    </row>
    <row r="121" spans="3:27" x14ac:dyDescent="0.2">
      <c r="C121" s="69">
        <f t="shared" ca="1" si="22"/>
        <v>46753</v>
      </c>
      <c r="D121" s="70">
        <f t="shared" ca="1" si="23"/>
        <v>43</v>
      </c>
      <c r="E121" s="69">
        <f t="shared" ca="1" si="27"/>
        <v>47039</v>
      </c>
      <c r="F121" s="65" t="s">
        <v>127</v>
      </c>
      <c r="G121" s="65"/>
      <c r="H121" s="122">
        <f t="shared" si="24"/>
        <v>102</v>
      </c>
      <c r="I121" s="123">
        <f t="shared" si="28"/>
        <v>-2260607.1882033879</v>
      </c>
      <c r="J121" s="58">
        <f t="shared" si="17"/>
        <v>1165432.4010884999</v>
      </c>
      <c r="K121" s="51">
        <f t="shared" si="25"/>
        <v>1095174.787114888</v>
      </c>
      <c r="L121" s="51">
        <f t="shared" si="18"/>
        <v>126799084.50805175</v>
      </c>
      <c r="M121" s="58">
        <f t="shared" si="19"/>
        <v>0</v>
      </c>
      <c r="N121" s="58">
        <f t="shared" ca="1" si="20"/>
        <v>-41821.422789519493</v>
      </c>
      <c r="O121" s="58">
        <f t="shared" si="21"/>
        <v>-198000</v>
      </c>
      <c r="P121" s="121">
        <f t="shared" si="29"/>
        <v>102</v>
      </c>
      <c r="Q121" s="124">
        <f t="shared" ca="1" si="26"/>
        <v>-2500428.6109929075</v>
      </c>
      <c r="R121" s="46"/>
      <c r="W121" s="65"/>
      <c r="X121" s="72"/>
      <c r="Y121" s="66"/>
      <c r="Z121" s="46"/>
      <c r="AA121" s="66"/>
    </row>
    <row r="122" spans="3:27" x14ac:dyDescent="0.2">
      <c r="C122" s="69">
        <f t="shared" ca="1" si="22"/>
        <v>46753</v>
      </c>
      <c r="D122" s="70">
        <f t="shared" ca="1" si="23"/>
        <v>43</v>
      </c>
      <c r="E122" s="69">
        <f t="shared" ca="1" si="27"/>
        <v>47070</v>
      </c>
      <c r="F122" s="65" t="s">
        <v>128</v>
      </c>
      <c r="G122" s="65"/>
      <c r="H122" s="122">
        <f t="shared" si="24"/>
        <v>103</v>
      </c>
      <c r="I122" s="123">
        <f t="shared" si="28"/>
        <v>-2260607.1882033879</v>
      </c>
      <c r="J122" s="58">
        <f t="shared" si="17"/>
        <v>1155452.6554080218</v>
      </c>
      <c r="K122" s="51">
        <f t="shared" si="25"/>
        <v>1105154.5327953661</v>
      </c>
      <c r="L122" s="51">
        <f t="shared" si="18"/>
        <v>125693929.97525638</v>
      </c>
      <c r="M122" s="58">
        <f t="shared" si="19"/>
        <v>0</v>
      </c>
      <c r="N122" s="58">
        <f t="shared" ca="1" si="20"/>
        <v>-41463.300634132924</v>
      </c>
      <c r="O122" s="58">
        <f t="shared" si="21"/>
        <v>-198000</v>
      </c>
      <c r="P122" s="121">
        <f t="shared" si="29"/>
        <v>103</v>
      </c>
      <c r="Q122" s="124">
        <f t="shared" ca="1" si="26"/>
        <v>-2500070.4888375206</v>
      </c>
      <c r="R122" s="46"/>
      <c r="W122" s="65"/>
      <c r="X122" s="72"/>
      <c r="Y122" s="66"/>
      <c r="Z122" s="46"/>
      <c r="AA122" s="66"/>
    </row>
    <row r="123" spans="3:27" x14ac:dyDescent="0.2">
      <c r="C123" s="69">
        <f t="shared" ca="1" si="22"/>
        <v>46753</v>
      </c>
      <c r="D123" s="70">
        <f t="shared" ca="1" si="23"/>
        <v>43</v>
      </c>
      <c r="E123" s="69">
        <f t="shared" ca="1" si="27"/>
        <v>47100</v>
      </c>
      <c r="F123" s="65" t="s">
        <v>129</v>
      </c>
      <c r="G123" s="65"/>
      <c r="H123" s="122">
        <f t="shared" si="24"/>
        <v>104</v>
      </c>
      <c r="I123" s="123">
        <f t="shared" si="28"/>
        <v>-2260607.1882033879</v>
      </c>
      <c r="J123" s="58">
        <f t="shared" si="17"/>
        <v>1145381.9696100219</v>
      </c>
      <c r="K123" s="51">
        <f t="shared" si="25"/>
        <v>1115225.218593366</v>
      </c>
      <c r="L123" s="51">
        <f t="shared" si="18"/>
        <v>124578704.75666302</v>
      </c>
      <c r="M123" s="58">
        <f t="shared" si="19"/>
        <v>0</v>
      </c>
      <c r="N123" s="58">
        <f t="shared" ca="1" si="20"/>
        <v>-41101.915101908831</v>
      </c>
      <c r="O123" s="58">
        <f t="shared" si="21"/>
        <v>-198000</v>
      </c>
      <c r="P123" s="121">
        <f t="shared" si="29"/>
        <v>104</v>
      </c>
      <c r="Q123" s="124">
        <f t="shared" ca="1" si="26"/>
        <v>-2499709.1033052965</v>
      </c>
      <c r="R123" s="46"/>
      <c r="W123" s="65"/>
      <c r="X123" s="72"/>
      <c r="Y123" s="66"/>
      <c r="Z123" s="46"/>
      <c r="AA123" s="66"/>
    </row>
    <row r="124" spans="3:27" x14ac:dyDescent="0.2">
      <c r="C124" s="69">
        <f t="shared" ca="1" si="22"/>
        <v>47119</v>
      </c>
      <c r="D124" s="70">
        <f t="shared" ca="1" si="23"/>
        <v>44</v>
      </c>
      <c r="E124" s="69">
        <f t="shared" ca="1" si="27"/>
        <v>47131</v>
      </c>
      <c r="F124" s="65" t="s">
        <v>130</v>
      </c>
      <c r="G124" s="65"/>
      <c r="H124" s="122">
        <f t="shared" si="24"/>
        <v>105</v>
      </c>
      <c r="I124" s="123">
        <f t="shared" si="28"/>
        <v>-2260607.1882033879</v>
      </c>
      <c r="J124" s="58">
        <f t="shared" si="17"/>
        <v>1135219.5150055499</v>
      </c>
      <c r="K124" s="51">
        <f t="shared" si="25"/>
        <v>1125387.673197838</v>
      </c>
      <c r="L124" s="51">
        <f t="shared" si="18"/>
        <v>123453317.08346519</v>
      </c>
      <c r="M124" s="58">
        <f t="shared" si="19"/>
        <v>0</v>
      </c>
      <c r="N124" s="58">
        <f t="shared" ca="1" si="20"/>
        <v>-42481.338322022093</v>
      </c>
      <c r="O124" s="58">
        <f t="shared" si="21"/>
        <v>-198000</v>
      </c>
      <c r="P124" s="121">
        <f t="shared" si="29"/>
        <v>105</v>
      </c>
      <c r="Q124" s="124">
        <f t="shared" ca="1" si="26"/>
        <v>-2501088.5265254099</v>
      </c>
      <c r="R124" s="46"/>
      <c r="W124" s="65"/>
      <c r="X124" s="72"/>
      <c r="Y124" s="66"/>
      <c r="Z124" s="46"/>
      <c r="AA124" s="66"/>
    </row>
    <row r="125" spans="3:27" x14ac:dyDescent="0.2">
      <c r="C125" s="69">
        <f t="shared" ca="1" si="22"/>
        <v>47119</v>
      </c>
      <c r="D125" s="70">
        <f t="shared" ca="1" si="23"/>
        <v>44</v>
      </c>
      <c r="E125" s="69">
        <f t="shared" ca="1" si="27"/>
        <v>47162</v>
      </c>
      <c r="F125" s="65" t="s">
        <v>131</v>
      </c>
      <c r="G125" s="65"/>
      <c r="H125" s="122">
        <f t="shared" si="24"/>
        <v>106</v>
      </c>
      <c r="I125" s="123">
        <f t="shared" si="28"/>
        <v>-2260607.1882033879</v>
      </c>
      <c r="J125" s="58">
        <f t="shared" si="17"/>
        <v>1124964.4553542531</v>
      </c>
      <c r="K125" s="51">
        <f t="shared" si="25"/>
        <v>1135642.7328491348</v>
      </c>
      <c r="L125" s="51">
        <f t="shared" si="18"/>
        <v>122317674.35061605</v>
      </c>
      <c r="M125" s="58">
        <f t="shared" si="19"/>
        <v>0</v>
      </c>
      <c r="N125" s="58">
        <f t="shared" ca="1" si="20"/>
        <v>-42097.581125461627</v>
      </c>
      <c r="O125" s="58">
        <f t="shared" si="21"/>
        <v>-198000</v>
      </c>
      <c r="P125" s="121">
        <f t="shared" si="29"/>
        <v>106</v>
      </c>
      <c r="Q125" s="124">
        <f t="shared" ca="1" si="26"/>
        <v>-2500704.7693288494</v>
      </c>
      <c r="R125" s="46"/>
      <c r="W125" s="65"/>
      <c r="X125" s="72"/>
      <c r="Y125" s="66"/>
      <c r="Z125" s="46"/>
      <c r="AA125" s="66"/>
    </row>
    <row r="126" spans="3:27" x14ac:dyDescent="0.2">
      <c r="C126" s="69">
        <f t="shared" ca="1" si="22"/>
        <v>47119</v>
      </c>
      <c r="D126" s="70">
        <f t="shared" ca="1" si="23"/>
        <v>44</v>
      </c>
      <c r="E126" s="69">
        <f t="shared" ca="1" si="27"/>
        <v>47190</v>
      </c>
      <c r="F126" s="65" t="s">
        <v>132</v>
      </c>
      <c r="G126" s="65"/>
      <c r="H126" s="122">
        <f t="shared" si="24"/>
        <v>107</v>
      </c>
      <c r="I126" s="123">
        <f t="shared" si="28"/>
        <v>-2260607.1882033879</v>
      </c>
      <c r="J126" s="58">
        <f t="shared" si="17"/>
        <v>1114615.9467955651</v>
      </c>
      <c r="K126" s="51">
        <f t="shared" si="25"/>
        <v>1145991.2414078228</v>
      </c>
      <c r="L126" s="51">
        <f t="shared" si="18"/>
        <v>121171683.10920823</v>
      </c>
      <c r="M126" s="58">
        <f t="shared" si="19"/>
        <v>0</v>
      </c>
      <c r="N126" s="58">
        <f t="shared" ca="1" si="20"/>
        <v>-41710.32695356007</v>
      </c>
      <c r="O126" s="58">
        <f t="shared" si="21"/>
        <v>-198000</v>
      </c>
      <c r="P126" s="121">
        <f t="shared" si="29"/>
        <v>107</v>
      </c>
      <c r="Q126" s="124">
        <f t="shared" ca="1" si="26"/>
        <v>-2500317.515156948</v>
      </c>
      <c r="R126" s="46"/>
      <c r="W126" s="65"/>
      <c r="X126" s="72"/>
      <c r="Y126" s="66"/>
      <c r="Z126" s="46"/>
      <c r="AA126" s="66"/>
    </row>
    <row r="127" spans="3:27" x14ac:dyDescent="0.2">
      <c r="C127" s="69">
        <f t="shared" ca="1" si="22"/>
        <v>47119</v>
      </c>
      <c r="D127" s="70">
        <f t="shared" ca="1" si="23"/>
        <v>44</v>
      </c>
      <c r="E127" s="69">
        <f t="shared" ca="1" si="27"/>
        <v>47221</v>
      </c>
      <c r="F127" s="65" t="s">
        <v>133</v>
      </c>
      <c r="G127" s="65"/>
      <c r="H127" s="122">
        <f t="shared" si="24"/>
        <v>108</v>
      </c>
      <c r="I127" s="123">
        <f t="shared" si="28"/>
        <v>-2260607.1882033879</v>
      </c>
      <c r="J127" s="58">
        <f t="shared" si="17"/>
        <v>1104173.1377792673</v>
      </c>
      <c r="K127" s="51">
        <f t="shared" si="25"/>
        <v>1156434.0504241206</v>
      </c>
      <c r="L127" s="51">
        <f t="shared" si="18"/>
        <v>120015249.05878411</v>
      </c>
      <c r="M127" s="58">
        <f t="shared" si="19"/>
        <v>0</v>
      </c>
      <c r="N127" s="58">
        <f t="shared" ca="1" si="20"/>
        <v>-41319.543940240008</v>
      </c>
      <c r="O127" s="58">
        <f t="shared" si="21"/>
        <v>-198000</v>
      </c>
      <c r="P127" s="121">
        <f t="shared" si="29"/>
        <v>108</v>
      </c>
      <c r="Q127" s="124">
        <f t="shared" ca="1" si="26"/>
        <v>-2499926.7321436279</v>
      </c>
      <c r="R127" s="46"/>
      <c r="W127" s="65"/>
      <c r="X127" s="72"/>
      <c r="Y127" s="66"/>
      <c r="Z127" s="46"/>
      <c r="AA127" s="66"/>
    </row>
    <row r="128" spans="3:27" x14ac:dyDescent="0.2">
      <c r="C128" s="69">
        <f t="shared" ca="1" si="22"/>
        <v>47119</v>
      </c>
      <c r="D128" s="70">
        <f t="shared" ca="1" si="23"/>
        <v>44</v>
      </c>
      <c r="E128" s="69">
        <f t="shared" ca="1" si="27"/>
        <v>47251</v>
      </c>
      <c r="F128" s="65" t="s">
        <v>134</v>
      </c>
      <c r="G128" s="65"/>
      <c r="H128" s="122">
        <f t="shared" si="24"/>
        <v>109</v>
      </c>
      <c r="I128" s="123">
        <f t="shared" si="28"/>
        <v>-2260607.1882033879</v>
      </c>
      <c r="J128" s="58">
        <f t="shared" si="17"/>
        <v>1093635.1689954158</v>
      </c>
      <c r="K128" s="51">
        <f t="shared" si="25"/>
        <v>1166972.0192079721</v>
      </c>
      <c r="L128" s="51">
        <f t="shared" si="18"/>
        <v>118848277.03957614</v>
      </c>
      <c r="M128" s="58">
        <f t="shared" si="19"/>
        <v>0</v>
      </c>
      <c r="N128" s="58">
        <f t="shared" ca="1" si="20"/>
        <v>-40925.199929045382</v>
      </c>
      <c r="O128" s="58">
        <f t="shared" si="21"/>
        <v>-198000</v>
      </c>
      <c r="P128" s="121">
        <f t="shared" si="29"/>
        <v>109</v>
      </c>
      <c r="Q128" s="124">
        <f t="shared" ca="1" si="26"/>
        <v>-2499532.3881324334</v>
      </c>
      <c r="R128" s="46"/>
      <c r="W128" s="65"/>
      <c r="X128" s="72"/>
      <c r="Y128" s="66"/>
      <c r="Z128" s="46"/>
      <c r="AA128" s="66"/>
    </row>
    <row r="129" spans="3:27" x14ac:dyDescent="0.2">
      <c r="C129" s="69">
        <f t="shared" ca="1" si="22"/>
        <v>47119</v>
      </c>
      <c r="D129" s="70">
        <f t="shared" ca="1" si="23"/>
        <v>44</v>
      </c>
      <c r="E129" s="69">
        <f t="shared" ca="1" si="27"/>
        <v>47282</v>
      </c>
      <c r="F129" s="65" t="s">
        <v>135</v>
      </c>
      <c r="G129" s="65"/>
      <c r="H129" s="122">
        <f t="shared" si="24"/>
        <v>110</v>
      </c>
      <c r="I129" s="123">
        <f t="shared" si="28"/>
        <v>-2260607.1882033879</v>
      </c>
      <c r="J129" s="58">
        <f t="shared" si="17"/>
        <v>1083001.1733036323</v>
      </c>
      <c r="K129" s="51">
        <f t="shared" si="25"/>
        <v>1177606.0148997556</v>
      </c>
      <c r="L129" s="51">
        <f t="shared" si="18"/>
        <v>117670671.02467638</v>
      </c>
      <c r="M129" s="58">
        <f t="shared" si="19"/>
        <v>0</v>
      </c>
      <c r="N129" s="58">
        <f t="shared" ca="1" si="20"/>
        <v>-40527.262470495465</v>
      </c>
      <c r="O129" s="58">
        <f t="shared" si="21"/>
        <v>-198000</v>
      </c>
      <c r="P129" s="121">
        <f t="shared" si="29"/>
        <v>110</v>
      </c>
      <c r="Q129" s="124">
        <f t="shared" ca="1" si="26"/>
        <v>-2499134.4506738833</v>
      </c>
      <c r="R129" s="46"/>
      <c r="W129" s="65"/>
      <c r="X129" s="72"/>
      <c r="Y129" s="66"/>
      <c r="Z129" s="46"/>
      <c r="AA129" s="66"/>
    </row>
    <row r="130" spans="3:27" x14ac:dyDescent="0.2">
      <c r="C130" s="69">
        <f t="shared" ca="1" si="22"/>
        <v>47119</v>
      </c>
      <c r="D130" s="70">
        <f t="shared" ca="1" si="23"/>
        <v>44</v>
      </c>
      <c r="E130" s="69">
        <f t="shared" ca="1" si="27"/>
        <v>47312</v>
      </c>
      <c r="F130" s="65" t="s">
        <v>136</v>
      </c>
      <c r="G130" s="65"/>
      <c r="H130" s="122">
        <f t="shared" si="24"/>
        <v>111</v>
      </c>
      <c r="I130" s="123">
        <f t="shared" si="28"/>
        <v>-2260607.1882033879</v>
      </c>
      <c r="J130" s="58">
        <f t="shared" si="17"/>
        <v>1072270.2756617491</v>
      </c>
      <c r="K130" s="51">
        <f t="shared" si="25"/>
        <v>1188336.9125416388</v>
      </c>
      <c r="L130" s="51">
        <f t="shared" si="18"/>
        <v>116482334.11213474</v>
      </c>
      <c r="M130" s="58">
        <f t="shared" si="19"/>
        <v>0</v>
      </c>
      <c r="N130" s="58">
        <f t="shared" ca="1" si="20"/>
        <v>-40125.698819414647</v>
      </c>
      <c r="O130" s="58">
        <f t="shared" si="21"/>
        <v>-198000</v>
      </c>
      <c r="P130" s="121">
        <f t="shared" si="29"/>
        <v>111</v>
      </c>
      <c r="Q130" s="124">
        <f t="shared" ca="1" si="26"/>
        <v>-2498732.8870228026</v>
      </c>
      <c r="R130" s="46"/>
      <c r="W130" s="65"/>
      <c r="X130" s="72"/>
      <c r="Y130" s="66"/>
      <c r="Z130" s="46"/>
      <c r="AA130" s="66"/>
    </row>
    <row r="131" spans="3:27" x14ac:dyDescent="0.2">
      <c r="C131" s="69">
        <f t="shared" ca="1" si="22"/>
        <v>47119</v>
      </c>
      <c r="D131" s="70">
        <f t="shared" ca="1" si="23"/>
        <v>44</v>
      </c>
      <c r="E131" s="69">
        <f t="shared" ca="1" si="27"/>
        <v>47343</v>
      </c>
      <c r="F131" s="65" t="s">
        <v>137</v>
      </c>
      <c r="G131" s="65"/>
      <c r="H131" s="122">
        <f t="shared" si="24"/>
        <v>112</v>
      </c>
      <c r="I131" s="123">
        <f t="shared" si="28"/>
        <v>-2260607.1882033879</v>
      </c>
      <c r="J131" s="58">
        <f t="shared" si="17"/>
        <v>1061441.5930538047</v>
      </c>
      <c r="K131" s="51">
        <f t="shared" si="25"/>
        <v>1199165.5951495832</v>
      </c>
      <c r="L131" s="51">
        <f t="shared" si="18"/>
        <v>115283168.51698516</v>
      </c>
      <c r="M131" s="58">
        <f t="shared" si="19"/>
        <v>0</v>
      </c>
      <c r="N131" s="58">
        <f t="shared" ca="1" si="20"/>
        <v>-39720.475932237947</v>
      </c>
      <c r="O131" s="58">
        <f t="shared" si="21"/>
        <v>-198000</v>
      </c>
      <c r="P131" s="121">
        <f t="shared" si="29"/>
        <v>112</v>
      </c>
      <c r="Q131" s="124">
        <f t="shared" ca="1" si="26"/>
        <v>-2498327.6641356261</v>
      </c>
      <c r="R131" s="46"/>
      <c r="W131" s="65"/>
      <c r="X131" s="72"/>
      <c r="Y131" s="66"/>
      <c r="Z131" s="46"/>
      <c r="AA131" s="66"/>
    </row>
    <row r="132" spans="3:27" x14ac:dyDescent="0.2">
      <c r="C132" s="69">
        <f t="shared" ca="1" si="22"/>
        <v>47119</v>
      </c>
      <c r="D132" s="70">
        <f t="shared" ca="1" si="23"/>
        <v>44</v>
      </c>
      <c r="E132" s="69">
        <f t="shared" ca="1" si="27"/>
        <v>47374</v>
      </c>
      <c r="F132" s="65" t="s">
        <v>138</v>
      </c>
      <c r="G132" s="65"/>
      <c r="H132" s="122">
        <f t="shared" si="24"/>
        <v>113</v>
      </c>
      <c r="I132" s="123">
        <f t="shared" si="28"/>
        <v>-2260607.1882033879</v>
      </c>
      <c r="J132" s="58">
        <f t="shared" si="17"/>
        <v>1050514.2344173824</v>
      </c>
      <c r="K132" s="51">
        <f t="shared" si="25"/>
        <v>1210092.9537860055</v>
      </c>
      <c r="L132" s="51">
        <f t="shared" si="18"/>
        <v>114073075.56319916</v>
      </c>
      <c r="M132" s="58">
        <f t="shared" si="19"/>
        <v>0</v>
      </c>
      <c r="N132" s="58">
        <f t="shared" ca="1" si="20"/>
        <v>-39311.560464291942</v>
      </c>
      <c r="O132" s="58">
        <f t="shared" si="21"/>
        <v>-198000</v>
      </c>
      <c r="P132" s="121">
        <f t="shared" si="29"/>
        <v>113</v>
      </c>
      <c r="Q132" s="124">
        <f t="shared" ca="1" si="26"/>
        <v>-2497918.7486676797</v>
      </c>
      <c r="R132" s="46"/>
      <c r="W132" s="65"/>
      <c r="X132" s="72"/>
      <c r="Y132" s="66"/>
      <c r="Z132" s="46"/>
      <c r="AA132" s="66"/>
    </row>
    <row r="133" spans="3:27" x14ac:dyDescent="0.2">
      <c r="C133" s="69">
        <f t="shared" ca="1" si="22"/>
        <v>47119</v>
      </c>
      <c r="D133" s="70">
        <f t="shared" ca="1" si="23"/>
        <v>44</v>
      </c>
      <c r="E133" s="69">
        <f t="shared" ca="1" si="27"/>
        <v>47404</v>
      </c>
      <c r="F133" s="65" t="s">
        <v>139</v>
      </c>
      <c r="G133" s="65"/>
      <c r="H133" s="122">
        <f t="shared" si="24"/>
        <v>114</v>
      </c>
      <c r="I133" s="123">
        <f t="shared" si="28"/>
        <v>-2260607.1882033879</v>
      </c>
      <c r="J133" s="58">
        <f t="shared" si="17"/>
        <v>1039487.3005702867</v>
      </c>
      <c r="K133" s="51">
        <f t="shared" si="25"/>
        <v>1221119.8876331011</v>
      </c>
      <c r="L133" s="51">
        <f t="shared" si="18"/>
        <v>112851955.67556606</v>
      </c>
      <c r="M133" s="58">
        <f t="shared" si="19"/>
        <v>0</v>
      </c>
      <c r="N133" s="58">
        <f t="shared" ca="1" si="20"/>
        <v>-38898.918767050913</v>
      </c>
      <c r="O133" s="58">
        <f t="shared" si="21"/>
        <v>-198000</v>
      </c>
      <c r="P133" s="121">
        <f t="shared" si="29"/>
        <v>114</v>
      </c>
      <c r="Q133" s="124">
        <f t="shared" ca="1" si="26"/>
        <v>-2497506.1069704387</v>
      </c>
      <c r="R133" s="46"/>
      <c r="W133" s="65"/>
      <c r="X133" s="72"/>
      <c r="Y133" s="66"/>
      <c r="Z133" s="46"/>
      <c r="AA133" s="66"/>
    </row>
    <row r="134" spans="3:27" x14ac:dyDescent="0.2">
      <c r="C134" s="69">
        <f t="shared" ca="1" si="22"/>
        <v>47119</v>
      </c>
      <c r="D134" s="70">
        <f t="shared" ca="1" si="23"/>
        <v>44</v>
      </c>
      <c r="E134" s="69">
        <f t="shared" ca="1" si="27"/>
        <v>47435</v>
      </c>
      <c r="F134" s="65" t="s">
        <v>140</v>
      </c>
      <c r="G134" s="65"/>
      <c r="H134" s="122">
        <f t="shared" si="24"/>
        <v>115</v>
      </c>
      <c r="I134" s="123">
        <f t="shared" si="28"/>
        <v>-2260607.1882033879</v>
      </c>
      <c r="J134" s="58">
        <f t="shared" si="17"/>
        <v>1028359.8841365536</v>
      </c>
      <c r="K134" s="51">
        <f t="shared" si="25"/>
        <v>1232247.3040668343</v>
      </c>
      <c r="L134" s="51">
        <f t="shared" si="18"/>
        <v>111619708.37149923</v>
      </c>
      <c r="M134" s="58">
        <f t="shared" si="19"/>
        <v>0</v>
      </c>
      <c r="N134" s="58">
        <f t="shared" ca="1" si="20"/>
        <v>-38482.51688536803</v>
      </c>
      <c r="O134" s="58">
        <f t="shared" si="21"/>
        <v>-198000</v>
      </c>
      <c r="P134" s="121">
        <f t="shared" si="29"/>
        <v>115</v>
      </c>
      <c r="Q134" s="124">
        <f t="shared" ca="1" si="26"/>
        <v>-2497089.705088756</v>
      </c>
      <c r="R134" s="46"/>
      <c r="W134" s="65"/>
      <c r="X134" s="72"/>
      <c r="Y134" s="66"/>
      <c r="Z134" s="46"/>
      <c r="AA134" s="66"/>
    </row>
    <row r="135" spans="3:27" x14ac:dyDescent="0.2">
      <c r="C135" s="69">
        <f t="shared" ca="1" si="22"/>
        <v>47119</v>
      </c>
      <c r="D135" s="70">
        <f t="shared" ca="1" si="23"/>
        <v>44</v>
      </c>
      <c r="E135" s="69">
        <f t="shared" ca="1" si="27"/>
        <v>47465</v>
      </c>
      <c r="F135" s="65" t="s">
        <v>141</v>
      </c>
      <c r="G135" s="65"/>
      <c r="H135" s="122">
        <f t="shared" si="24"/>
        <v>116</v>
      </c>
      <c r="I135" s="123">
        <f t="shared" si="28"/>
        <v>-2260607.1882033879</v>
      </c>
      <c r="J135" s="58">
        <f t="shared" si="17"/>
        <v>1017131.0694717838</v>
      </c>
      <c r="K135" s="51">
        <f t="shared" si="25"/>
        <v>1243476.118731604</v>
      </c>
      <c r="L135" s="51">
        <f t="shared" si="18"/>
        <v>110376232.25276762</v>
      </c>
      <c r="M135" s="58">
        <f t="shared" si="19"/>
        <v>0</v>
      </c>
      <c r="N135" s="58">
        <f t="shared" ca="1" si="20"/>
        <v>-38062.320554681239</v>
      </c>
      <c r="O135" s="58">
        <f t="shared" si="21"/>
        <v>-198000</v>
      </c>
      <c r="P135" s="121">
        <f t="shared" si="29"/>
        <v>116</v>
      </c>
      <c r="Q135" s="124">
        <f t="shared" ca="1" si="26"/>
        <v>-2496669.508758069</v>
      </c>
      <c r="R135" s="46"/>
      <c r="W135" s="65"/>
      <c r="X135" s="72"/>
      <c r="Y135" s="66"/>
      <c r="Z135" s="46"/>
      <c r="AA135" s="66"/>
    </row>
    <row r="136" spans="3:27" x14ac:dyDescent="0.2">
      <c r="C136" s="69">
        <f t="shared" ca="1" si="22"/>
        <v>47484</v>
      </c>
      <c r="D136" s="70">
        <f t="shared" ca="1" si="23"/>
        <v>45</v>
      </c>
      <c r="E136" s="69">
        <f t="shared" ca="1" si="27"/>
        <v>47496</v>
      </c>
      <c r="F136" s="65" t="s">
        <v>142</v>
      </c>
      <c r="G136" s="65"/>
      <c r="H136" s="122">
        <f t="shared" si="24"/>
        <v>117</v>
      </c>
      <c r="I136" s="123">
        <f t="shared" si="28"/>
        <v>-2260607.1882033879</v>
      </c>
      <c r="J136" s="58">
        <f t="shared" si="17"/>
        <v>1005799.9325877974</v>
      </c>
      <c r="K136" s="51">
        <f t="shared" si="25"/>
        <v>1254807.2556155906</v>
      </c>
      <c r="L136" s="51">
        <f t="shared" si="18"/>
        <v>109121424.99715203</v>
      </c>
      <c r="M136" s="58">
        <f t="shared" si="19"/>
        <v>0</v>
      </c>
      <c r="N136" s="58">
        <f t="shared" ca="1" si="20"/>
        <v>-39514.691146490804</v>
      </c>
      <c r="O136" s="58">
        <f t="shared" si="21"/>
        <v>-198000</v>
      </c>
      <c r="P136" s="121">
        <f t="shared" si="29"/>
        <v>117</v>
      </c>
      <c r="Q136" s="124">
        <f t="shared" ca="1" si="26"/>
        <v>-2498121.8793498785</v>
      </c>
      <c r="R136" s="46"/>
      <c r="W136" s="65"/>
      <c r="X136" s="72"/>
      <c r="Y136" s="66"/>
      <c r="Z136" s="46"/>
      <c r="AA136" s="66"/>
    </row>
    <row r="137" spans="3:27" x14ac:dyDescent="0.2">
      <c r="C137" s="69">
        <f t="shared" ca="1" si="22"/>
        <v>47484</v>
      </c>
      <c r="D137" s="70">
        <f t="shared" ca="1" si="23"/>
        <v>45</v>
      </c>
      <c r="E137" s="69">
        <f t="shared" ca="1" si="27"/>
        <v>47527</v>
      </c>
      <c r="F137" s="65" t="s">
        <v>143</v>
      </c>
      <c r="G137" s="65"/>
      <c r="H137" s="122">
        <f t="shared" si="24"/>
        <v>118</v>
      </c>
      <c r="I137" s="123">
        <f t="shared" si="28"/>
        <v>-2260607.1882033879</v>
      </c>
      <c r="J137" s="58">
        <f t="shared" si="17"/>
        <v>994365.54107660137</v>
      </c>
      <c r="K137" s="51">
        <f t="shared" si="25"/>
        <v>1266241.6471267864</v>
      </c>
      <c r="L137" s="51">
        <f t="shared" si="18"/>
        <v>107855183.35002524</v>
      </c>
      <c r="M137" s="58">
        <f t="shared" si="19"/>
        <v>0</v>
      </c>
      <c r="N137" s="58">
        <f t="shared" ca="1" si="20"/>
        <v>-39065.470148980421</v>
      </c>
      <c r="O137" s="58">
        <f t="shared" si="21"/>
        <v>-198000</v>
      </c>
      <c r="P137" s="121">
        <f t="shared" si="29"/>
        <v>118</v>
      </c>
      <c r="Q137" s="124">
        <f t="shared" ca="1" si="26"/>
        <v>-2497672.6583523685</v>
      </c>
      <c r="R137" s="46"/>
      <c r="W137" s="65"/>
      <c r="X137" s="72"/>
      <c r="Y137" s="66"/>
      <c r="Z137" s="46"/>
      <c r="AA137" s="66"/>
    </row>
    <row r="138" spans="3:27" x14ac:dyDescent="0.2">
      <c r="C138" s="69">
        <f t="shared" ca="1" si="22"/>
        <v>47484</v>
      </c>
      <c r="D138" s="70">
        <f t="shared" ca="1" si="23"/>
        <v>45</v>
      </c>
      <c r="E138" s="69">
        <f t="shared" ca="1" si="27"/>
        <v>47555</v>
      </c>
      <c r="F138" s="65" t="s">
        <v>144</v>
      </c>
      <c r="G138" s="65"/>
      <c r="H138" s="122">
        <f t="shared" si="24"/>
        <v>119</v>
      </c>
      <c r="I138" s="123">
        <f t="shared" si="28"/>
        <v>-2260607.1882033879</v>
      </c>
      <c r="J138" s="58">
        <f t="shared" si="17"/>
        <v>982826.95403366443</v>
      </c>
      <c r="K138" s="51">
        <f t="shared" si="25"/>
        <v>1277780.2341697235</v>
      </c>
      <c r="L138" s="51">
        <f t="shared" si="18"/>
        <v>106577403.11585552</v>
      </c>
      <c r="M138" s="58">
        <f t="shared" si="19"/>
        <v>0</v>
      </c>
      <c r="N138" s="58">
        <f t="shared" ca="1" si="20"/>
        <v>-38612.155639309029</v>
      </c>
      <c r="O138" s="58">
        <f t="shared" si="21"/>
        <v>-198000</v>
      </c>
      <c r="P138" s="121">
        <f t="shared" si="29"/>
        <v>119</v>
      </c>
      <c r="Q138" s="124">
        <f t="shared" ca="1" si="26"/>
        <v>-2497219.3438426969</v>
      </c>
      <c r="R138" s="46"/>
      <c r="W138" s="65"/>
      <c r="X138" s="72"/>
      <c r="Y138" s="66"/>
      <c r="Z138" s="46"/>
      <c r="AA138" s="66"/>
    </row>
    <row r="139" spans="3:27" x14ac:dyDescent="0.2">
      <c r="C139" s="69">
        <f t="shared" ca="1" si="22"/>
        <v>47484</v>
      </c>
      <c r="D139" s="70">
        <f t="shared" ca="1" si="23"/>
        <v>45</v>
      </c>
      <c r="E139" s="69">
        <f t="shared" ca="1" si="27"/>
        <v>47586</v>
      </c>
      <c r="F139" s="65" t="s">
        <v>145</v>
      </c>
      <c r="G139" s="65"/>
      <c r="H139" s="122">
        <f t="shared" si="24"/>
        <v>120</v>
      </c>
      <c r="I139" s="123">
        <f t="shared" si="28"/>
        <v>-2260607.1882033879</v>
      </c>
      <c r="J139" s="58">
        <f t="shared" si="17"/>
        <v>971183.22198049224</v>
      </c>
      <c r="K139" s="51">
        <f t="shared" si="25"/>
        <v>1289423.9662228958</v>
      </c>
      <c r="L139" s="51">
        <f t="shared" si="18"/>
        <v>105287979.14963262</v>
      </c>
      <c r="M139" s="58">
        <f t="shared" si="19"/>
        <v>0</v>
      </c>
      <c r="N139" s="58">
        <f t="shared" ca="1" si="20"/>
        <v>-38154.710315476274</v>
      </c>
      <c r="O139" s="58">
        <f t="shared" si="21"/>
        <v>-198000</v>
      </c>
      <c r="P139" s="121">
        <f t="shared" si="29"/>
        <v>120</v>
      </c>
      <c r="Q139" s="124">
        <f t="shared" ca="1" si="26"/>
        <v>-2496761.8985188641</v>
      </c>
      <c r="R139" s="46"/>
      <c r="W139" s="65"/>
      <c r="X139" s="72"/>
      <c r="Y139" s="66"/>
      <c r="Z139" s="46"/>
      <c r="AA139" s="66"/>
    </row>
    <row r="140" spans="3:27" x14ac:dyDescent="0.2">
      <c r="C140" s="69">
        <f t="shared" ca="1" si="22"/>
        <v>47484</v>
      </c>
      <c r="D140" s="70">
        <f t="shared" ca="1" si="23"/>
        <v>45</v>
      </c>
      <c r="E140" s="69">
        <f t="shared" ca="1" si="27"/>
        <v>47616</v>
      </c>
      <c r="F140" s="65" t="s">
        <v>146</v>
      </c>
      <c r="G140" s="65"/>
      <c r="H140" s="122">
        <f t="shared" si="24"/>
        <v>121</v>
      </c>
      <c r="I140" s="123">
        <f t="shared" si="28"/>
        <v>-2260607.1882033879</v>
      </c>
      <c r="J140" s="58">
        <f t="shared" si="17"/>
        <v>959433.38678649778</v>
      </c>
      <c r="K140" s="51">
        <f t="shared" si="25"/>
        <v>1301173.8014168902</v>
      </c>
      <c r="L140" s="51">
        <f t="shared" si="18"/>
        <v>103986805.34821573</v>
      </c>
      <c r="M140" s="58">
        <f t="shared" si="19"/>
        <v>0</v>
      </c>
      <c r="N140" s="58">
        <f t="shared" ca="1" si="20"/>
        <v>-37693.096535568475</v>
      </c>
      <c r="O140" s="58">
        <f t="shared" si="21"/>
        <v>-198000</v>
      </c>
      <c r="P140" s="121">
        <f t="shared" si="29"/>
        <v>121</v>
      </c>
      <c r="Q140" s="124">
        <f t="shared" ca="1" si="26"/>
        <v>-2496300.2847389565</v>
      </c>
      <c r="R140" s="46"/>
      <c r="W140" s="65"/>
      <c r="X140" s="72"/>
      <c r="Y140" s="66"/>
      <c r="Z140" s="46"/>
      <c r="AA140" s="66"/>
    </row>
    <row r="141" spans="3:27" x14ac:dyDescent="0.2">
      <c r="C141" s="69">
        <f t="shared" ca="1" si="22"/>
        <v>47484</v>
      </c>
      <c r="D141" s="70">
        <f t="shared" ca="1" si="23"/>
        <v>45</v>
      </c>
      <c r="E141" s="69">
        <f t="shared" ca="1" si="27"/>
        <v>47647</v>
      </c>
      <c r="F141" s="65" t="s">
        <v>147</v>
      </c>
      <c r="G141" s="65"/>
      <c r="H141" s="122">
        <f t="shared" si="24"/>
        <v>122</v>
      </c>
      <c r="I141" s="123">
        <f t="shared" si="28"/>
        <v>-2260607.1882033879</v>
      </c>
      <c r="J141" s="58">
        <f t="shared" si="17"/>
        <v>947576.48159015912</v>
      </c>
      <c r="K141" s="51">
        <f t="shared" si="25"/>
        <v>1313030.7066132287</v>
      </c>
      <c r="L141" s="51">
        <f t="shared" si="18"/>
        <v>102673774.6416025</v>
      </c>
      <c r="M141" s="58">
        <f t="shared" si="19"/>
        <v>0</v>
      </c>
      <c r="N141" s="58">
        <f t="shared" ca="1" si="20"/>
        <v>-37227.276314661227</v>
      </c>
      <c r="O141" s="58">
        <f t="shared" si="21"/>
        <v>-198000</v>
      </c>
      <c r="P141" s="121">
        <f t="shared" si="29"/>
        <v>122</v>
      </c>
      <c r="Q141" s="124">
        <f t="shared" ca="1" si="26"/>
        <v>-2495834.4645180493</v>
      </c>
      <c r="R141" s="46"/>
      <c r="W141" s="65"/>
      <c r="X141" s="72"/>
      <c r="Y141" s="66"/>
      <c r="Z141" s="46"/>
      <c r="AA141" s="66"/>
    </row>
    <row r="142" spans="3:27" x14ac:dyDescent="0.2">
      <c r="C142" s="69">
        <f t="shared" ca="1" si="22"/>
        <v>47484</v>
      </c>
      <c r="D142" s="70">
        <f t="shared" ca="1" si="23"/>
        <v>45</v>
      </c>
      <c r="E142" s="69">
        <f t="shared" ca="1" si="27"/>
        <v>47677</v>
      </c>
      <c r="F142" s="65" t="s">
        <v>148</v>
      </c>
      <c r="G142" s="65"/>
      <c r="H142" s="122">
        <f t="shared" si="24"/>
        <v>123</v>
      </c>
      <c r="I142" s="123">
        <f t="shared" si="28"/>
        <v>-2260607.1882033879</v>
      </c>
      <c r="J142" s="58">
        <f t="shared" si="17"/>
        <v>935611.53071945952</v>
      </c>
      <c r="K142" s="51">
        <f t="shared" si="25"/>
        <v>1324995.6574839284</v>
      </c>
      <c r="L142" s="51">
        <f t="shared" si="18"/>
        <v>101348778.98411857</v>
      </c>
      <c r="M142" s="58">
        <f t="shared" si="19"/>
        <v>0</v>
      </c>
      <c r="N142" s="58">
        <f t="shared" ca="1" si="20"/>
        <v>-36757.211321693692</v>
      </c>
      <c r="O142" s="58">
        <f t="shared" si="21"/>
        <v>-198000</v>
      </c>
      <c r="P142" s="121">
        <f t="shared" si="29"/>
        <v>123</v>
      </c>
      <c r="Q142" s="124">
        <f t="shared" ca="1" si="26"/>
        <v>-2495364.3995250817</v>
      </c>
      <c r="R142" s="46"/>
      <c r="W142" s="65"/>
      <c r="X142" s="72"/>
      <c r="Y142" s="66"/>
      <c r="Z142" s="46"/>
      <c r="AA142" s="66"/>
    </row>
    <row r="143" spans="3:27" x14ac:dyDescent="0.2">
      <c r="C143" s="69">
        <f t="shared" ca="1" si="22"/>
        <v>47484</v>
      </c>
      <c r="D143" s="70">
        <f t="shared" ca="1" si="23"/>
        <v>45</v>
      </c>
      <c r="E143" s="69">
        <f t="shared" ca="1" si="27"/>
        <v>47708</v>
      </c>
      <c r="F143" s="65" t="s">
        <v>149</v>
      </c>
      <c r="G143" s="65"/>
      <c r="H143" s="122">
        <f t="shared" si="24"/>
        <v>124</v>
      </c>
      <c r="I143" s="123">
        <f t="shared" si="28"/>
        <v>-2260607.1882033879</v>
      </c>
      <c r="J143" s="58">
        <f t="shared" si="17"/>
        <v>923537.54961160151</v>
      </c>
      <c r="K143" s="51">
        <f t="shared" si="25"/>
        <v>1337069.6385917864</v>
      </c>
      <c r="L143" s="51">
        <f t="shared" si="18"/>
        <v>100011709.34552678</v>
      </c>
      <c r="M143" s="58">
        <f t="shared" si="19"/>
        <v>0</v>
      </c>
      <c r="N143" s="58">
        <f t="shared" ca="1" si="20"/>
        <v>-36282.862876314444</v>
      </c>
      <c r="O143" s="58">
        <f t="shared" si="21"/>
        <v>-198000</v>
      </c>
      <c r="P143" s="121">
        <f t="shared" si="29"/>
        <v>124</v>
      </c>
      <c r="Q143" s="124">
        <f t="shared" ca="1" si="26"/>
        <v>-2494890.0510797026</v>
      </c>
      <c r="R143" s="46"/>
      <c r="W143" s="65"/>
      <c r="X143" s="72"/>
      <c r="Y143" s="66"/>
      <c r="Z143" s="46"/>
      <c r="AA143" s="66"/>
    </row>
    <row r="144" spans="3:27" x14ac:dyDescent="0.2">
      <c r="C144" s="69">
        <f t="shared" ca="1" si="22"/>
        <v>47484</v>
      </c>
      <c r="D144" s="70">
        <f t="shared" ca="1" si="23"/>
        <v>45</v>
      </c>
      <c r="E144" s="69">
        <f t="shared" ca="1" si="27"/>
        <v>47739</v>
      </c>
      <c r="F144" s="65" t="s">
        <v>150</v>
      </c>
      <c r="G144" s="65"/>
      <c r="H144" s="122">
        <f t="shared" si="24"/>
        <v>125</v>
      </c>
      <c r="I144" s="123">
        <f t="shared" si="28"/>
        <v>-2260607.1882033879</v>
      </c>
      <c r="J144" s="58">
        <f t="shared" si="17"/>
        <v>911353.54473199043</v>
      </c>
      <c r="K144" s="51">
        <f t="shared" si="25"/>
        <v>1349253.6434713975</v>
      </c>
      <c r="L144" s="51">
        <f t="shared" si="18"/>
        <v>98662455.702055395</v>
      </c>
      <c r="M144" s="58">
        <f t="shared" si="19"/>
        <v>0</v>
      </c>
      <c r="N144" s="58">
        <f t="shared" ca="1" si="20"/>
        <v>-35804.191945698585</v>
      </c>
      <c r="O144" s="58">
        <f t="shared" si="21"/>
        <v>-198000</v>
      </c>
      <c r="P144" s="121">
        <f t="shared" si="29"/>
        <v>125</v>
      </c>
      <c r="Q144" s="124">
        <f t="shared" ca="1" si="26"/>
        <v>-2494411.3801490865</v>
      </c>
      <c r="R144" s="46"/>
      <c r="W144" s="65"/>
      <c r="X144" s="72"/>
      <c r="Y144" s="66"/>
      <c r="Z144" s="46"/>
      <c r="AA144" s="66"/>
    </row>
    <row r="145" spans="3:27" x14ac:dyDescent="0.2">
      <c r="C145" s="69">
        <f t="shared" ca="1" si="22"/>
        <v>47484</v>
      </c>
      <c r="D145" s="70">
        <f t="shared" ca="1" si="23"/>
        <v>45</v>
      </c>
      <c r="E145" s="69">
        <f t="shared" ca="1" si="27"/>
        <v>47769</v>
      </c>
      <c r="F145" s="65" t="s">
        <v>151</v>
      </c>
      <c r="G145" s="65"/>
      <c r="H145" s="122">
        <f t="shared" si="24"/>
        <v>126</v>
      </c>
      <c r="I145" s="123">
        <f t="shared" si="28"/>
        <v>-2260607.1882033879</v>
      </c>
      <c r="J145" s="58">
        <f t="shared" si="17"/>
        <v>899058.51349247887</v>
      </c>
      <c r="K145" s="51">
        <f t="shared" si="25"/>
        <v>1361548.6747109089</v>
      </c>
      <c r="L145" s="51">
        <f t="shared" si="18"/>
        <v>97300907.02734448</v>
      </c>
      <c r="M145" s="58">
        <f t="shared" si="19"/>
        <v>0</v>
      </c>
      <c r="N145" s="58">
        <f t="shared" ca="1" si="20"/>
        <v>-35321.159141335826</v>
      </c>
      <c r="O145" s="58">
        <f t="shared" si="21"/>
        <v>-198000</v>
      </c>
      <c r="P145" s="121">
        <f t="shared" si="29"/>
        <v>126</v>
      </c>
      <c r="Q145" s="124">
        <f t="shared" ca="1" si="26"/>
        <v>-2493928.3473447235</v>
      </c>
      <c r="R145" s="46"/>
      <c r="W145" s="65"/>
      <c r="X145" s="72"/>
      <c r="Y145" s="66"/>
      <c r="Z145" s="46"/>
      <c r="AA145" s="66"/>
    </row>
    <row r="146" spans="3:27" x14ac:dyDescent="0.2">
      <c r="C146" s="69">
        <f t="shared" ca="1" si="22"/>
        <v>47484</v>
      </c>
      <c r="D146" s="70">
        <f t="shared" ca="1" si="23"/>
        <v>45</v>
      </c>
      <c r="E146" s="69">
        <f t="shared" ca="1" si="27"/>
        <v>47800</v>
      </c>
      <c r="F146" s="65" t="s">
        <v>152</v>
      </c>
      <c r="G146" s="65"/>
      <c r="H146" s="122">
        <f t="shared" si="24"/>
        <v>127</v>
      </c>
      <c r="I146" s="123">
        <f t="shared" si="28"/>
        <v>-2260607.1882033879</v>
      </c>
      <c r="J146" s="58">
        <f t="shared" si="17"/>
        <v>886651.44416886638</v>
      </c>
      <c r="K146" s="51">
        <f t="shared" si="25"/>
        <v>1373955.7440345215</v>
      </c>
      <c r="L146" s="51">
        <f t="shared" si="18"/>
        <v>95926951.283309951</v>
      </c>
      <c r="M146" s="58">
        <f t="shared" si="19"/>
        <v>0</v>
      </c>
      <c r="N146" s="58">
        <f t="shared" ca="1" si="20"/>
        <v>-34833.724715789322</v>
      </c>
      <c r="O146" s="58">
        <f t="shared" si="21"/>
        <v>-198000</v>
      </c>
      <c r="P146" s="121">
        <f t="shared" si="29"/>
        <v>127</v>
      </c>
      <c r="Q146" s="124">
        <f t="shared" ca="1" si="26"/>
        <v>-2493440.9129191772</v>
      </c>
      <c r="R146" s="46"/>
      <c r="W146" s="65"/>
      <c r="X146" s="72"/>
      <c r="Y146" s="66"/>
      <c r="Z146" s="46"/>
      <c r="AA146" s="66"/>
    </row>
    <row r="147" spans="3:27" x14ac:dyDescent="0.2">
      <c r="C147" s="69">
        <f t="shared" ca="1" si="22"/>
        <v>47484</v>
      </c>
      <c r="D147" s="70">
        <f t="shared" ca="1" si="23"/>
        <v>45</v>
      </c>
      <c r="E147" s="69">
        <f t="shared" ca="1" si="27"/>
        <v>47830</v>
      </c>
      <c r="F147" s="65" t="s">
        <v>153</v>
      </c>
      <c r="G147" s="65"/>
      <c r="H147" s="122">
        <f t="shared" si="24"/>
        <v>128</v>
      </c>
      <c r="I147" s="123">
        <f t="shared" si="28"/>
        <v>-2260607.1882033879</v>
      </c>
      <c r="J147" s="58">
        <f t="shared" si="17"/>
        <v>874131.31581764796</v>
      </c>
      <c r="K147" s="51">
        <f t="shared" si="25"/>
        <v>1386475.8723857398</v>
      </c>
      <c r="L147" s="51">
        <f t="shared" si="18"/>
        <v>94540475.410924211</v>
      </c>
      <c r="M147" s="58">
        <f t="shared" si="19"/>
        <v>0</v>
      </c>
      <c r="N147" s="58">
        <f t="shared" ca="1" si="20"/>
        <v>-34341.848559424958</v>
      </c>
      <c r="O147" s="58">
        <f t="shared" si="21"/>
        <v>-198000</v>
      </c>
      <c r="P147" s="121">
        <f t="shared" si="29"/>
        <v>128</v>
      </c>
      <c r="Q147" s="124">
        <f t="shared" ca="1" si="26"/>
        <v>-2492949.0367628126</v>
      </c>
      <c r="R147" s="46"/>
      <c r="W147" s="65"/>
      <c r="X147" s="72"/>
      <c r="Y147" s="66"/>
      <c r="Z147" s="46"/>
      <c r="AA147" s="66"/>
    </row>
    <row r="148" spans="3:27" x14ac:dyDescent="0.2">
      <c r="C148" s="69">
        <f t="shared" ca="1" si="22"/>
        <v>47849</v>
      </c>
      <c r="D148" s="70">
        <f t="shared" ca="1" si="23"/>
        <v>46</v>
      </c>
      <c r="E148" s="69">
        <f t="shared" ca="1" si="27"/>
        <v>47861</v>
      </c>
      <c r="F148" s="65" t="s">
        <v>154</v>
      </c>
      <c r="G148" s="65"/>
      <c r="H148" s="122">
        <f t="shared" si="24"/>
        <v>129</v>
      </c>
      <c r="I148" s="123">
        <f t="shared" si="28"/>
        <v>-2260607.1882033879</v>
      </c>
      <c r="J148" s="58">
        <f t="shared" ref="J148:J211" si="30">+IF(L147&gt;0,L147*$J$9,0)</f>
        <v>861497.09819200309</v>
      </c>
      <c r="K148" s="51">
        <f t="shared" si="25"/>
        <v>1399110.0900113848</v>
      </c>
      <c r="L148" s="51">
        <f t="shared" ref="L148:L198" si="31">+L147-K148</f>
        <v>93141365.320912823</v>
      </c>
      <c r="M148" s="58">
        <f t="shared" ref="M148:M211" si="32">+-L147/1000000*$J$10</f>
        <v>0</v>
      </c>
      <c r="N148" s="58">
        <f t="shared" ref="N148:N211" ca="1" si="33">+-VLOOKUP(D148,$AB$17:$AF$90,3,0)*L147</f>
        <v>-36019.921131562129</v>
      </c>
      <c r="O148" s="58">
        <f t="shared" ref="O148:O211" si="34">IF(L147&gt;0.1,-$J$13/1000000*$J$11,0)</f>
        <v>-198000</v>
      </c>
      <c r="P148" s="121">
        <f t="shared" si="29"/>
        <v>129</v>
      </c>
      <c r="Q148" s="124">
        <f t="shared" ca="1" si="26"/>
        <v>-2494627.1093349499</v>
      </c>
      <c r="R148" s="46"/>
      <c r="W148" s="65"/>
      <c r="X148" s="72"/>
      <c r="Y148" s="66"/>
      <c r="Z148" s="46"/>
      <c r="AA148" s="66"/>
    </row>
    <row r="149" spans="3:27" x14ac:dyDescent="0.2">
      <c r="C149" s="69">
        <f t="shared" ref="C149:C212" ca="1" si="35">+VLOOKUP(E149,$A$19:$B$43,1,1)</f>
        <v>47849</v>
      </c>
      <c r="D149" s="70">
        <f t="shared" ref="D149:D212" ca="1" si="36">+VLOOKUP(C149,$A$19:$B$43,2,0)</f>
        <v>46</v>
      </c>
      <c r="E149" s="69">
        <f t="shared" ca="1" si="27"/>
        <v>47892</v>
      </c>
      <c r="F149" s="65" t="s">
        <v>155</v>
      </c>
      <c r="G149" s="65"/>
      <c r="H149" s="122">
        <f t="shared" ref="H149:H212" si="37">P149</f>
        <v>130</v>
      </c>
      <c r="I149" s="123">
        <f t="shared" si="28"/>
        <v>-2260607.1882033879</v>
      </c>
      <c r="J149" s="58">
        <f t="shared" si="30"/>
        <v>848747.7516570196</v>
      </c>
      <c r="K149" s="51">
        <f t="shared" ref="K149:K212" si="38">+IF(L148&gt;0,-I149-J149,0)</f>
        <v>1411859.4365463683</v>
      </c>
      <c r="L149" s="51">
        <f t="shared" si="31"/>
        <v>91729505.884366453</v>
      </c>
      <c r="M149" s="58">
        <f t="shared" si="32"/>
        <v>0</v>
      </c>
      <c r="N149" s="58">
        <f t="shared" ca="1" si="33"/>
        <v>-35486.86018726779</v>
      </c>
      <c r="O149" s="58">
        <f t="shared" si="34"/>
        <v>-198000</v>
      </c>
      <c r="P149" s="121">
        <f t="shared" si="29"/>
        <v>130</v>
      </c>
      <c r="Q149" s="124">
        <f t="shared" ref="Q149:Q212" ca="1" si="39">+I149+M149+N149+O149</f>
        <v>-2494094.0483906558</v>
      </c>
      <c r="R149" s="46"/>
      <c r="W149" s="65"/>
      <c r="X149" s="72"/>
      <c r="Y149" s="66"/>
      <c r="Z149" s="46"/>
      <c r="AA149" s="66"/>
    </row>
    <row r="150" spans="3:27" x14ac:dyDescent="0.2">
      <c r="C150" s="69">
        <f t="shared" ca="1" si="35"/>
        <v>47849</v>
      </c>
      <c r="D150" s="70">
        <f t="shared" ca="1" si="36"/>
        <v>46</v>
      </c>
      <c r="E150" s="69">
        <f t="shared" ref="E150:E213" ca="1" si="40">+EDATE(E149,1)</f>
        <v>47920</v>
      </c>
      <c r="F150" s="65" t="s">
        <v>156</v>
      </c>
      <c r="G150" s="65"/>
      <c r="H150" s="122">
        <f t="shared" si="37"/>
        <v>131</v>
      </c>
      <c r="I150" s="123">
        <f t="shared" ref="I150:I213" si="41">+IF(L149&gt;0.1,IF(P150=$J$7,I149-$K$5,I149),0)</f>
        <v>-2260607.1882033879</v>
      </c>
      <c r="J150" s="58">
        <f t="shared" si="30"/>
        <v>835882.22710414487</v>
      </c>
      <c r="K150" s="51">
        <f t="shared" si="38"/>
        <v>1424724.961099243</v>
      </c>
      <c r="L150" s="51">
        <f t="shared" si="31"/>
        <v>90304780.923267215</v>
      </c>
      <c r="M150" s="58">
        <f t="shared" si="32"/>
        <v>0</v>
      </c>
      <c r="N150" s="58">
        <f t="shared" ca="1" si="33"/>
        <v>-34948.941741943621</v>
      </c>
      <c r="O150" s="58">
        <f t="shared" si="34"/>
        <v>-198000</v>
      </c>
      <c r="P150" s="121">
        <f t="shared" ref="P150:P213" si="42">+P149+1</f>
        <v>131</v>
      </c>
      <c r="Q150" s="124">
        <f t="shared" ca="1" si="39"/>
        <v>-2493556.1299453317</v>
      </c>
      <c r="R150" s="46"/>
      <c r="W150" s="65"/>
      <c r="X150" s="72"/>
      <c r="Y150" s="66"/>
      <c r="Z150" s="46"/>
      <c r="AA150" s="66"/>
    </row>
    <row r="151" spans="3:27" x14ac:dyDescent="0.2">
      <c r="C151" s="69">
        <f t="shared" ca="1" si="35"/>
        <v>47849</v>
      </c>
      <c r="D151" s="70">
        <f t="shared" ca="1" si="36"/>
        <v>46</v>
      </c>
      <c r="E151" s="69">
        <f t="shared" ca="1" si="40"/>
        <v>47951</v>
      </c>
      <c r="F151" s="65" t="s">
        <v>157</v>
      </c>
      <c r="G151" s="65"/>
      <c r="H151" s="122">
        <f t="shared" si="37"/>
        <v>132</v>
      </c>
      <c r="I151" s="123">
        <f t="shared" si="41"/>
        <v>-2260607.1882033879</v>
      </c>
      <c r="J151" s="58">
        <f t="shared" si="30"/>
        <v>822899.46586485789</v>
      </c>
      <c r="K151" s="51">
        <f t="shared" si="38"/>
        <v>1437707.72233853</v>
      </c>
      <c r="L151" s="51">
        <f t="shared" si="31"/>
        <v>88867073.200928688</v>
      </c>
      <c r="M151" s="58">
        <f t="shared" si="32"/>
        <v>0</v>
      </c>
      <c r="N151" s="58">
        <f t="shared" ca="1" si="33"/>
        <v>-34406.121531764817</v>
      </c>
      <c r="O151" s="58">
        <f t="shared" si="34"/>
        <v>-198000</v>
      </c>
      <c r="P151" s="121">
        <f t="shared" si="42"/>
        <v>132</v>
      </c>
      <c r="Q151" s="124">
        <f t="shared" ca="1" si="39"/>
        <v>-2493013.3097351529</v>
      </c>
      <c r="R151" s="46"/>
      <c r="W151" s="65"/>
      <c r="X151" s="72"/>
      <c r="Y151" s="66"/>
      <c r="Z151" s="46"/>
      <c r="AA151" s="66"/>
    </row>
    <row r="152" spans="3:27" x14ac:dyDescent="0.2">
      <c r="C152" s="69">
        <f t="shared" ca="1" si="35"/>
        <v>47849</v>
      </c>
      <c r="D152" s="70">
        <f t="shared" ca="1" si="36"/>
        <v>46</v>
      </c>
      <c r="E152" s="69">
        <f t="shared" ca="1" si="40"/>
        <v>47981</v>
      </c>
      <c r="F152" s="65" t="s">
        <v>158</v>
      </c>
      <c r="G152" s="65"/>
      <c r="H152" s="122">
        <f t="shared" si="37"/>
        <v>133</v>
      </c>
      <c r="I152" s="123">
        <f t="shared" si="41"/>
        <v>-2260607.1882033879</v>
      </c>
      <c r="J152" s="58">
        <f t="shared" si="30"/>
        <v>809798.39962355408</v>
      </c>
      <c r="K152" s="51">
        <f t="shared" si="38"/>
        <v>1450808.7885798337</v>
      </c>
      <c r="L152" s="51">
        <f t="shared" si="31"/>
        <v>87416264.412348852</v>
      </c>
      <c r="M152" s="58">
        <f t="shared" si="32"/>
        <v>0</v>
      </c>
      <c r="N152" s="58">
        <f t="shared" ca="1" si="33"/>
        <v>-33858.354889553833</v>
      </c>
      <c r="O152" s="58">
        <f t="shared" si="34"/>
        <v>-198000</v>
      </c>
      <c r="P152" s="121">
        <f t="shared" si="42"/>
        <v>133</v>
      </c>
      <c r="Q152" s="124">
        <f t="shared" ca="1" si="39"/>
        <v>-2492465.5430929419</v>
      </c>
      <c r="R152" s="46"/>
      <c r="W152" s="65"/>
      <c r="X152" s="72"/>
      <c r="Y152" s="66"/>
      <c r="Z152" s="46"/>
      <c r="AA152" s="66"/>
    </row>
    <row r="153" spans="3:27" x14ac:dyDescent="0.2">
      <c r="C153" s="69">
        <f t="shared" ca="1" si="35"/>
        <v>47849</v>
      </c>
      <c r="D153" s="70">
        <f t="shared" ca="1" si="36"/>
        <v>46</v>
      </c>
      <c r="E153" s="69">
        <f t="shared" ca="1" si="40"/>
        <v>48012</v>
      </c>
      <c r="F153" s="65" t="s">
        <v>159</v>
      </c>
      <c r="G153" s="65"/>
      <c r="H153" s="122">
        <f t="shared" si="37"/>
        <v>134</v>
      </c>
      <c r="I153" s="123">
        <f t="shared" si="41"/>
        <v>-2260607.1882033879</v>
      </c>
      <c r="J153" s="58">
        <f t="shared" si="30"/>
        <v>796577.95032963646</v>
      </c>
      <c r="K153" s="51">
        <f t="shared" si="38"/>
        <v>1464029.2378737514</v>
      </c>
      <c r="L153" s="51">
        <f t="shared" si="31"/>
        <v>85952235.174475104</v>
      </c>
      <c r="M153" s="58">
        <f t="shared" si="32"/>
        <v>0</v>
      </c>
      <c r="N153" s="58">
        <f t="shared" ca="1" si="33"/>
        <v>-33305.596741104913</v>
      </c>
      <c r="O153" s="58">
        <f t="shared" si="34"/>
        <v>-198000</v>
      </c>
      <c r="P153" s="121">
        <f t="shared" si="42"/>
        <v>134</v>
      </c>
      <c r="Q153" s="124">
        <f t="shared" ca="1" si="39"/>
        <v>-2491912.7849444929</v>
      </c>
      <c r="R153" s="46"/>
      <c r="W153" s="65"/>
      <c r="X153" s="72"/>
      <c r="Y153" s="66"/>
      <c r="Z153" s="46"/>
      <c r="AA153" s="66"/>
    </row>
    <row r="154" spans="3:27" x14ac:dyDescent="0.2">
      <c r="C154" s="69">
        <f t="shared" ca="1" si="35"/>
        <v>47849</v>
      </c>
      <c r="D154" s="70">
        <f t="shared" ca="1" si="36"/>
        <v>46</v>
      </c>
      <c r="E154" s="69">
        <f t="shared" ca="1" si="40"/>
        <v>48042</v>
      </c>
      <c r="F154" s="65" t="s">
        <v>160</v>
      </c>
      <c r="G154" s="65"/>
      <c r="H154" s="122">
        <f t="shared" si="37"/>
        <v>135</v>
      </c>
      <c r="I154" s="123">
        <f t="shared" si="41"/>
        <v>-2260607.1882033879</v>
      </c>
      <c r="J154" s="58">
        <f t="shared" si="30"/>
        <v>783237.03010880644</v>
      </c>
      <c r="K154" s="51">
        <f t="shared" si="38"/>
        <v>1477370.1580945814</v>
      </c>
      <c r="L154" s="51">
        <f t="shared" si="31"/>
        <v>84474865.016380519</v>
      </c>
      <c r="M154" s="58">
        <f t="shared" si="32"/>
        <v>0</v>
      </c>
      <c r="N154" s="58">
        <f t="shared" ca="1" si="33"/>
        <v>-32747.801601475017</v>
      </c>
      <c r="O154" s="58">
        <f t="shared" si="34"/>
        <v>-198000</v>
      </c>
      <c r="P154" s="121">
        <f t="shared" si="42"/>
        <v>135</v>
      </c>
      <c r="Q154" s="124">
        <f t="shared" ca="1" si="39"/>
        <v>-2491354.989804863</v>
      </c>
      <c r="R154" s="46"/>
      <c r="W154" s="65"/>
      <c r="X154" s="72"/>
      <c r="Y154" s="66"/>
      <c r="Z154" s="46"/>
      <c r="AA154" s="66"/>
    </row>
    <row r="155" spans="3:27" x14ac:dyDescent="0.2">
      <c r="C155" s="69">
        <f t="shared" ca="1" si="35"/>
        <v>47849</v>
      </c>
      <c r="D155" s="70">
        <f t="shared" ca="1" si="36"/>
        <v>46</v>
      </c>
      <c r="E155" s="69">
        <f t="shared" ca="1" si="40"/>
        <v>48073</v>
      </c>
      <c r="F155" s="65" t="s">
        <v>161</v>
      </c>
      <c r="G155" s="65"/>
      <c r="H155" s="122">
        <f t="shared" si="37"/>
        <v>136</v>
      </c>
      <c r="I155" s="123">
        <f t="shared" si="41"/>
        <v>-2260607.1882033879</v>
      </c>
      <c r="J155" s="58">
        <f t="shared" si="30"/>
        <v>769774.54117354471</v>
      </c>
      <c r="K155" s="51">
        <f t="shared" si="38"/>
        <v>1490832.6470298432</v>
      </c>
      <c r="L155" s="51">
        <f t="shared" si="31"/>
        <v>82984032.369350672</v>
      </c>
      <c r="M155" s="58">
        <f t="shared" si="32"/>
        <v>0</v>
      </c>
      <c r="N155" s="58">
        <f t="shared" ca="1" si="33"/>
        <v>-32184.923571240983</v>
      </c>
      <c r="O155" s="58">
        <f t="shared" si="34"/>
        <v>-198000</v>
      </c>
      <c r="P155" s="121">
        <f t="shared" si="42"/>
        <v>136</v>
      </c>
      <c r="Q155" s="124">
        <f t="shared" ca="1" si="39"/>
        <v>-2490792.111774629</v>
      </c>
      <c r="R155" s="46"/>
      <c r="W155" s="65"/>
      <c r="X155" s="72"/>
      <c r="Y155" s="66"/>
      <c r="Z155" s="46"/>
    </row>
    <row r="156" spans="3:27" x14ac:dyDescent="0.2">
      <c r="C156" s="69">
        <f t="shared" ca="1" si="35"/>
        <v>47849</v>
      </c>
      <c r="D156" s="70">
        <f t="shared" ca="1" si="36"/>
        <v>46</v>
      </c>
      <c r="E156" s="69">
        <f t="shared" ca="1" si="40"/>
        <v>48104</v>
      </c>
      <c r="F156" s="65" t="s">
        <v>162</v>
      </c>
      <c r="G156" s="65"/>
      <c r="H156" s="122">
        <f t="shared" si="37"/>
        <v>137</v>
      </c>
      <c r="I156" s="123">
        <f t="shared" si="41"/>
        <v>-2260607.1882033879</v>
      </c>
      <c r="J156" s="58">
        <f t="shared" si="30"/>
        <v>756189.37573277834</v>
      </c>
      <c r="K156" s="51">
        <f t="shared" si="38"/>
        <v>1504417.8124706096</v>
      </c>
      <c r="L156" s="51">
        <f t="shared" si="31"/>
        <v>81479614.556880057</v>
      </c>
      <c r="M156" s="58">
        <f t="shared" si="32"/>
        <v>0</v>
      </c>
      <c r="N156" s="58">
        <f t="shared" ca="1" si="33"/>
        <v>-31616.916332722609</v>
      </c>
      <c r="O156" s="58">
        <f t="shared" si="34"/>
        <v>-198000</v>
      </c>
      <c r="P156" s="121">
        <f t="shared" si="42"/>
        <v>137</v>
      </c>
      <c r="Q156" s="124">
        <f t="shared" ca="1" si="39"/>
        <v>-2490224.1045361105</v>
      </c>
      <c r="R156" s="46"/>
    </row>
    <row r="157" spans="3:27" x14ac:dyDescent="0.2">
      <c r="C157" s="69">
        <f t="shared" ca="1" si="35"/>
        <v>47849</v>
      </c>
      <c r="D157" s="70">
        <f t="shared" ca="1" si="36"/>
        <v>46</v>
      </c>
      <c r="E157" s="69">
        <f t="shared" ca="1" si="40"/>
        <v>48134</v>
      </c>
      <c r="F157" s="65" t="s">
        <v>163</v>
      </c>
      <c r="G157" s="65"/>
      <c r="H157" s="122">
        <f t="shared" si="37"/>
        <v>138</v>
      </c>
      <c r="I157" s="123">
        <f t="shared" si="41"/>
        <v>-2260607.1882033879</v>
      </c>
      <c r="J157" s="58">
        <f t="shared" si="30"/>
        <v>742480.41590072273</v>
      </c>
      <c r="K157" s="51">
        <f t="shared" si="38"/>
        <v>1518126.7723026653</v>
      </c>
      <c r="L157" s="51">
        <f t="shared" si="31"/>
        <v>79961487.784577385</v>
      </c>
      <c r="M157" s="58">
        <f t="shared" si="32"/>
        <v>0</v>
      </c>
      <c r="N157" s="58">
        <f t="shared" ca="1" si="33"/>
        <v>-31043.733146171304</v>
      </c>
      <c r="O157" s="58">
        <f t="shared" si="34"/>
        <v>-198000</v>
      </c>
      <c r="P157" s="121">
        <f t="shared" si="42"/>
        <v>138</v>
      </c>
      <c r="Q157" s="124">
        <f t="shared" ca="1" si="39"/>
        <v>-2489650.921349559</v>
      </c>
      <c r="R157" s="46"/>
    </row>
    <row r="158" spans="3:27" x14ac:dyDescent="0.2">
      <c r="C158" s="69">
        <f t="shared" ca="1" si="35"/>
        <v>47849</v>
      </c>
      <c r="D158" s="70">
        <f t="shared" ca="1" si="36"/>
        <v>46</v>
      </c>
      <c r="E158" s="69">
        <f t="shared" ca="1" si="40"/>
        <v>48165</v>
      </c>
      <c r="F158" s="65" t="s">
        <v>164</v>
      </c>
      <c r="G158" s="65"/>
      <c r="H158" s="122">
        <f t="shared" si="37"/>
        <v>139</v>
      </c>
      <c r="I158" s="123">
        <f t="shared" si="41"/>
        <v>-2260607.1882033879</v>
      </c>
      <c r="J158" s="58">
        <f t="shared" si="30"/>
        <v>728646.53360489476</v>
      </c>
      <c r="K158" s="51">
        <f t="shared" si="38"/>
        <v>1531960.6545984931</v>
      </c>
      <c r="L158" s="51">
        <f t="shared" si="31"/>
        <v>78429527.129978895</v>
      </c>
      <c r="M158" s="58">
        <f t="shared" si="32"/>
        <v>0</v>
      </c>
      <c r="N158" s="58">
        <f t="shared" ca="1" si="33"/>
        <v>-30465.326845923988</v>
      </c>
      <c r="O158" s="58">
        <f t="shared" si="34"/>
        <v>-198000</v>
      </c>
      <c r="P158" s="121">
        <f t="shared" si="42"/>
        <v>139</v>
      </c>
      <c r="Q158" s="124">
        <f t="shared" ca="1" si="39"/>
        <v>-2489072.5150493118</v>
      </c>
      <c r="R158" s="46"/>
    </row>
    <row r="159" spans="3:27" x14ac:dyDescent="0.2">
      <c r="C159" s="69">
        <f t="shared" ca="1" si="35"/>
        <v>47849</v>
      </c>
      <c r="D159" s="70">
        <f t="shared" ca="1" si="36"/>
        <v>46</v>
      </c>
      <c r="E159" s="69">
        <f t="shared" ca="1" si="40"/>
        <v>48195</v>
      </c>
      <c r="F159" s="65" t="s">
        <v>165</v>
      </c>
      <c r="G159" s="65"/>
      <c r="H159" s="122">
        <f t="shared" si="37"/>
        <v>140</v>
      </c>
      <c r="I159" s="123">
        <f t="shared" si="41"/>
        <v>-2260607.1882033879</v>
      </c>
      <c r="J159" s="58">
        <f t="shared" si="30"/>
        <v>714686.59049328638</v>
      </c>
      <c r="K159" s="51">
        <f t="shared" si="38"/>
        <v>1545920.5977101014</v>
      </c>
      <c r="L159" s="51">
        <f t="shared" si="31"/>
        <v>76883606.532268792</v>
      </c>
      <c r="M159" s="58">
        <f t="shared" si="32"/>
        <v>0</v>
      </c>
      <c r="N159" s="58">
        <f t="shared" ca="1" si="33"/>
        <v>-29881.649836521963</v>
      </c>
      <c r="O159" s="58">
        <f t="shared" si="34"/>
        <v>-198000</v>
      </c>
      <c r="P159" s="121">
        <f t="shared" si="42"/>
        <v>140</v>
      </c>
      <c r="Q159" s="124">
        <f t="shared" ca="1" si="39"/>
        <v>-2488488.83803991</v>
      </c>
      <c r="R159" s="46"/>
    </row>
    <row r="160" spans="3:27" x14ac:dyDescent="0.2">
      <c r="C160" s="69">
        <f t="shared" ca="1" si="35"/>
        <v>48214</v>
      </c>
      <c r="D160" s="70">
        <f t="shared" ca="1" si="36"/>
        <v>47</v>
      </c>
      <c r="E160" s="69">
        <f t="shared" ca="1" si="40"/>
        <v>48226</v>
      </c>
      <c r="F160" s="65" t="s">
        <v>166</v>
      </c>
      <c r="G160" s="65"/>
      <c r="H160" s="122">
        <f t="shared" si="37"/>
        <v>141</v>
      </c>
      <c r="I160" s="123">
        <f t="shared" si="41"/>
        <v>-2260607.1882033879</v>
      </c>
      <c r="J160" s="58">
        <f t="shared" si="30"/>
        <v>700599.43784069235</v>
      </c>
      <c r="K160" s="51">
        <f t="shared" si="38"/>
        <v>1560007.7503626957</v>
      </c>
      <c r="L160" s="51">
        <f t="shared" si="31"/>
        <v>75323598.781906098</v>
      </c>
      <c r="M160" s="58">
        <f t="shared" si="32"/>
        <v>0</v>
      </c>
      <c r="N160" s="58">
        <f t="shared" ca="1" si="33"/>
        <v>-31599.162284762471</v>
      </c>
      <c r="O160" s="58">
        <f t="shared" si="34"/>
        <v>-198000</v>
      </c>
      <c r="P160" s="121">
        <f t="shared" si="42"/>
        <v>141</v>
      </c>
      <c r="Q160" s="124">
        <f t="shared" ca="1" si="39"/>
        <v>-2490206.3504881505</v>
      </c>
      <c r="R160" s="46"/>
    </row>
    <row r="161" spans="3:18" x14ac:dyDescent="0.2">
      <c r="C161" s="69">
        <f t="shared" ca="1" si="35"/>
        <v>48214</v>
      </c>
      <c r="D161" s="70">
        <f t="shared" ca="1" si="36"/>
        <v>47</v>
      </c>
      <c r="E161" s="69">
        <f t="shared" ca="1" si="40"/>
        <v>48257</v>
      </c>
      <c r="F161" s="65" t="s">
        <v>167</v>
      </c>
      <c r="G161" s="65"/>
      <c r="H161" s="122">
        <f t="shared" si="37"/>
        <v>142</v>
      </c>
      <c r="I161" s="123">
        <f t="shared" si="41"/>
        <v>-2260607.1882033879</v>
      </c>
      <c r="J161" s="58">
        <f t="shared" si="30"/>
        <v>686383.91645418573</v>
      </c>
      <c r="K161" s="51">
        <f t="shared" si="38"/>
        <v>1574223.2717492022</v>
      </c>
      <c r="L161" s="51">
        <f t="shared" si="31"/>
        <v>73749375.5101569</v>
      </c>
      <c r="M161" s="58">
        <f t="shared" si="32"/>
        <v>0</v>
      </c>
      <c r="N161" s="58">
        <f t="shared" ca="1" si="33"/>
        <v>-30957.999099363402</v>
      </c>
      <c r="O161" s="58">
        <f t="shared" si="34"/>
        <v>-198000</v>
      </c>
      <c r="P161" s="121">
        <f t="shared" si="42"/>
        <v>142</v>
      </c>
      <c r="Q161" s="124">
        <f t="shared" ca="1" si="39"/>
        <v>-2489565.1873027515</v>
      </c>
      <c r="R161" s="46"/>
    </row>
    <row r="162" spans="3:18" x14ac:dyDescent="0.2">
      <c r="C162" s="69">
        <f t="shared" ca="1" si="35"/>
        <v>48214</v>
      </c>
      <c r="D162" s="70">
        <f t="shared" ca="1" si="36"/>
        <v>47</v>
      </c>
      <c r="E162" s="69">
        <f t="shared" ca="1" si="40"/>
        <v>48286</v>
      </c>
      <c r="F162" s="65" t="s">
        <v>168</v>
      </c>
      <c r="G162" s="65"/>
      <c r="H162" s="122">
        <f t="shared" si="37"/>
        <v>143</v>
      </c>
      <c r="I162" s="123">
        <f t="shared" si="41"/>
        <v>-2260607.1882033879</v>
      </c>
      <c r="J162" s="58">
        <f t="shared" si="30"/>
        <v>672038.85657773039</v>
      </c>
      <c r="K162" s="51">
        <f t="shared" si="38"/>
        <v>1588568.3316256576</v>
      </c>
      <c r="L162" s="51">
        <f t="shared" si="31"/>
        <v>72160807.178531244</v>
      </c>
      <c r="M162" s="58">
        <f t="shared" si="32"/>
        <v>0</v>
      </c>
      <c r="N162" s="58">
        <f t="shared" ca="1" si="33"/>
        <v>-30310.993334674484</v>
      </c>
      <c r="O162" s="58">
        <f t="shared" si="34"/>
        <v>-198000</v>
      </c>
      <c r="P162" s="121">
        <f t="shared" si="42"/>
        <v>143</v>
      </c>
      <c r="Q162" s="124">
        <f t="shared" ca="1" si="39"/>
        <v>-2488918.1815380622</v>
      </c>
      <c r="R162" s="46"/>
    </row>
    <row r="163" spans="3:18" x14ac:dyDescent="0.2">
      <c r="C163" s="69">
        <f t="shared" ca="1" si="35"/>
        <v>48214</v>
      </c>
      <c r="D163" s="70">
        <f t="shared" ca="1" si="36"/>
        <v>47</v>
      </c>
      <c r="E163" s="69">
        <f t="shared" ca="1" si="40"/>
        <v>48317</v>
      </c>
      <c r="F163" s="65" t="s">
        <v>169</v>
      </c>
      <c r="G163" s="65"/>
      <c r="H163" s="122">
        <f t="shared" si="37"/>
        <v>144</v>
      </c>
      <c r="I163" s="123">
        <f t="shared" si="41"/>
        <v>-2260607.1882033879</v>
      </c>
      <c r="J163" s="58">
        <f t="shared" si="30"/>
        <v>657563.07779592543</v>
      </c>
      <c r="K163" s="51">
        <f t="shared" si="38"/>
        <v>1603044.1104074623</v>
      </c>
      <c r="L163" s="51">
        <f t="shared" si="31"/>
        <v>70557763.068123788</v>
      </c>
      <c r="M163" s="58">
        <f t="shared" si="32"/>
        <v>0</v>
      </c>
      <c r="N163" s="58">
        <f t="shared" ca="1" si="33"/>
        <v>-29658.091750376338</v>
      </c>
      <c r="O163" s="58">
        <f t="shared" si="34"/>
        <v>-198000</v>
      </c>
      <c r="P163" s="121">
        <f t="shared" si="42"/>
        <v>144</v>
      </c>
      <c r="Q163" s="124">
        <f t="shared" ca="1" si="39"/>
        <v>-2488265.2799537643</v>
      </c>
      <c r="R163" s="46"/>
    </row>
    <row r="164" spans="3:18" x14ac:dyDescent="0.2">
      <c r="C164" s="69">
        <f t="shared" ca="1" si="35"/>
        <v>48214</v>
      </c>
      <c r="D164" s="70">
        <f t="shared" ca="1" si="36"/>
        <v>47</v>
      </c>
      <c r="E164" s="69">
        <f t="shared" ca="1" si="40"/>
        <v>48347</v>
      </c>
      <c r="F164" s="65" t="s">
        <v>170</v>
      </c>
      <c r="G164" s="65"/>
      <c r="H164" s="122">
        <f t="shared" si="37"/>
        <v>145</v>
      </c>
      <c r="I164" s="123">
        <f t="shared" si="41"/>
        <v>-2260607.1882033879</v>
      </c>
      <c r="J164" s="58">
        <f t="shared" si="30"/>
        <v>642955.38893687166</v>
      </c>
      <c r="K164" s="51">
        <f t="shared" si="38"/>
        <v>1617651.7992665162</v>
      </c>
      <c r="L164" s="51">
        <f t="shared" si="31"/>
        <v>68940111.26885727</v>
      </c>
      <c r="M164" s="58">
        <f t="shared" si="32"/>
        <v>0</v>
      </c>
      <c r="N164" s="58">
        <f t="shared" ca="1" si="33"/>
        <v>-28999.240620998873</v>
      </c>
      <c r="O164" s="58">
        <f t="shared" si="34"/>
        <v>-198000</v>
      </c>
      <c r="P164" s="121">
        <f t="shared" si="42"/>
        <v>145</v>
      </c>
      <c r="Q164" s="124">
        <f t="shared" ca="1" si="39"/>
        <v>-2487606.4288243866</v>
      </c>
      <c r="R164" s="46"/>
    </row>
    <row r="165" spans="3:18" x14ac:dyDescent="0.2">
      <c r="C165" s="69">
        <f t="shared" ca="1" si="35"/>
        <v>48214</v>
      </c>
      <c r="D165" s="70">
        <f t="shared" ca="1" si="36"/>
        <v>47</v>
      </c>
      <c r="E165" s="69">
        <f t="shared" ca="1" si="40"/>
        <v>48378</v>
      </c>
      <c r="F165" s="65" t="s">
        <v>171</v>
      </c>
      <c r="G165" s="65"/>
      <c r="H165" s="122">
        <f t="shared" si="37"/>
        <v>146</v>
      </c>
      <c r="I165" s="123">
        <f t="shared" si="41"/>
        <v>-2260607.1882033879</v>
      </c>
      <c r="J165" s="58">
        <f t="shared" si="30"/>
        <v>628214.58797415358</v>
      </c>
      <c r="K165" s="51">
        <f t="shared" si="38"/>
        <v>1632392.6002292344</v>
      </c>
      <c r="L165" s="51">
        <f t="shared" si="31"/>
        <v>67307718.668628037</v>
      </c>
      <c r="M165" s="58">
        <f t="shared" si="32"/>
        <v>0</v>
      </c>
      <c r="N165" s="58">
        <f t="shared" ca="1" si="33"/>
        <v>-28334.385731500337</v>
      </c>
      <c r="O165" s="58">
        <f t="shared" si="34"/>
        <v>-198000</v>
      </c>
      <c r="P165" s="121">
        <f t="shared" si="42"/>
        <v>146</v>
      </c>
      <c r="Q165" s="124">
        <f t="shared" ca="1" si="39"/>
        <v>-2486941.573934888</v>
      </c>
      <c r="R165" s="46"/>
    </row>
    <row r="166" spans="3:18" x14ac:dyDescent="0.2">
      <c r="C166" s="69">
        <f t="shared" ca="1" si="35"/>
        <v>48214</v>
      </c>
      <c r="D166" s="70">
        <f t="shared" ca="1" si="36"/>
        <v>47</v>
      </c>
      <c r="E166" s="69">
        <f t="shared" ca="1" si="40"/>
        <v>48408</v>
      </c>
      <c r="F166" s="65" t="s">
        <v>172</v>
      </c>
      <c r="G166" s="65"/>
      <c r="H166" s="122">
        <f t="shared" si="37"/>
        <v>147</v>
      </c>
      <c r="I166" s="123">
        <f t="shared" si="41"/>
        <v>-2260607.1882033879</v>
      </c>
      <c r="J166" s="58">
        <f t="shared" si="30"/>
        <v>613339.46192792803</v>
      </c>
      <c r="K166" s="51">
        <f t="shared" si="38"/>
        <v>1647267.7262754599</v>
      </c>
      <c r="L166" s="51">
        <f t="shared" si="31"/>
        <v>65660450.942352578</v>
      </c>
      <c r="M166" s="58">
        <f t="shared" si="32"/>
        <v>0</v>
      </c>
      <c r="N166" s="58">
        <f t="shared" ca="1" si="33"/>
        <v>-27663.472372806122</v>
      </c>
      <c r="O166" s="58">
        <f t="shared" si="34"/>
        <v>-198000</v>
      </c>
      <c r="P166" s="121">
        <f t="shared" si="42"/>
        <v>147</v>
      </c>
      <c r="Q166" s="124">
        <f t="shared" ca="1" si="39"/>
        <v>-2486270.6605761941</v>
      </c>
      <c r="R166" s="46"/>
    </row>
    <row r="167" spans="3:18" x14ac:dyDescent="0.2">
      <c r="C167" s="69">
        <f t="shared" ca="1" si="35"/>
        <v>48214</v>
      </c>
      <c r="D167" s="70">
        <f t="shared" ca="1" si="36"/>
        <v>47</v>
      </c>
      <c r="E167" s="69">
        <f t="shared" ca="1" si="40"/>
        <v>48439</v>
      </c>
      <c r="F167" s="65" t="s">
        <v>173</v>
      </c>
      <c r="G167" s="65"/>
      <c r="H167" s="122">
        <f t="shared" si="37"/>
        <v>148</v>
      </c>
      <c r="I167" s="123">
        <f t="shared" si="41"/>
        <v>-2260607.1882033879</v>
      </c>
      <c r="J167" s="58">
        <f t="shared" si="30"/>
        <v>598328.78676511126</v>
      </c>
      <c r="K167" s="51">
        <f t="shared" si="38"/>
        <v>1662278.4014382767</v>
      </c>
      <c r="L167" s="51">
        <f t="shared" si="31"/>
        <v>63998172.540914305</v>
      </c>
      <c r="M167" s="58">
        <f t="shared" si="32"/>
        <v>0</v>
      </c>
      <c r="N167" s="58">
        <f t="shared" ca="1" si="33"/>
        <v>-26986.445337306908</v>
      </c>
      <c r="O167" s="58">
        <f t="shared" si="34"/>
        <v>-198000</v>
      </c>
      <c r="P167" s="121">
        <f t="shared" si="42"/>
        <v>148</v>
      </c>
      <c r="Q167" s="124">
        <f t="shared" ca="1" si="39"/>
        <v>-2485593.6335406946</v>
      </c>
      <c r="R167" s="46"/>
    </row>
    <row r="168" spans="3:18" x14ac:dyDescent="0.2">
      <c r="C168" s="69">
        <f t="shared" ca="1" si="35"/>
        <v>48214</v>
      </c>
      <c r="D168" s="70">
        <f t="shared" ca="1" si="36"/>
        <v>47</v>
      </c>
      <c r="E168" s="69">
        <f t="shared" ca="1" si="40"/>
        <v>48470</v>
      </c>
      <c r="F168" s="65" t="s">
        <v>174</v>
      </c>
      <c r="G168" s="65"/>
      <c r="H168" s="122">
        <f t="shared" si="37"/>
        <v>149</v>
      </c>
      <c r="I168" s="123">
        <f t="shared" si="41"/>
        <v>-2260607.1882033879</v>
      </c>
      <c r="J168" s="58">
        <f t="shared" si="30"/>
        <v>583181.3272986568</v>
      </c>
      <c r="K168" s="51">
        <f t="shared" si="38"/>
        <v>1677425.8609047311</v>
      </c>
      <c r="L168" s="51">
        <f t="shared" si="31"/>
        <v>62320746.680009574</v>
      </c>
      <c r="M168" s="58">
        <f t="shared" si="32"/>
        <v>0</v>
      </c>
      <c r="N168" s="58">
        <f t="shared" ca="1" si="33"/>
        <v>-26303.248914315776</v>
      </c>
      <c r="O168" s="58">
        <f t="shared" si="34"/>
        <v>-198000</v>
      </c>
      <c r="P168" s="121">
        <f t="shared" si="42"/>
        <v>149</v>
      </c>
      <c r="Q168" s="124">
        <f t="shared" ca="1" si="39"/>
        <v>-2484910.4371177037</v>
      </c>
      <c r="R168" s="46"/>
    </row>
    <row r="169" spans="3:18" x14ac:dyDescent="0.2">
      <c r="C169" s="69">
        <f t="shared" ca="1" si="35"/>
        <v>48214</v>
      </c>
      <c r="D169" s="70">
        <f t="shared" ca="1" si="36"/>
        <v>47</v>
      </c>
      <c r="E169" s="69">
        <f t="shared" ca="1" si="40"/>
        <v>48500</v>
      </c>
      <c r="F169" s="65" t="s">
        <v>175</v>
      </c>
      <c r="G169" s="65"/>
      <c r="H169" s="122">
        <f t="shared" si="37"/>
        <v>150</v>
      </c>
      <c r="I169" s="123">
        <f t="shared" si="41"/>
        <v>-2260607.1882033879</v>
      </c>
      <c r="J169" s="58">
        <f t="shared" si="30"/>
        <v>567895.83708591491</v>
      </c>
      <c r="K169" s="51">
        <f t="shared" si="38"/>
        <v>1692711.3511174731</v>
      </c>
      <c r="L169" s="51">
        <f t="shared" si="31"/>
        <v>60628035.328892097</v>
      </c>
      <c r="M169" s="58">
        <f t="shared" si="32"/>
        <v>0</v>
      </c>
      <c r="N169" s="58">
        <f t="shared" ca="1" si="33"/>
        <v>-25613.826885483933</v>
      </c>
      <c r="O169" s="58">
        <f t="shared" si="34"/>
        <v>-198000</v>
      </c>
      <c r="P169" s="121">
        <f t="shared" si="42"/>
        <v>150</v>
      </c>
      <c r="Q169" s="124">
        <f t="shared" ca="1" si="39"/>
        <v>-2484221.0150888721</v>
      </c>
      <c r="R169" s="46"/>
    </row>
    <row r="170" spans="3:18" x14ac:dyDescent="0.2">
      <c r="C170" s="69">
        <f t="shared" ca="1" si="35"/>
        <v>48214</v>
      </c>
      <c r="D170" s="70">
        <f t="shared" ca="1" si="36"/>
        <v>47</v>
      </c>
      <c r="E170" s="69">
        <f t="shared" ca="1" si="40"/>
        <v>48531</v>
      </c>
      <c r="F170" s="65" t="s">
        <v>176</v>
      </c>
      <c r="G170" s="65"/>
      <c r="H170" s="122">
        <f t="shared" si="37"/>
        <v>151</v>
      </c>
      <c r="I170" s="123">
        <f t="shared" si="41"/>
        <v>-2260607.1882033879</v>
      </c>
      <c r="J170" s="58">
        <f t="shared" si="30"/>
        <v>552471.0583260667</v>
      </c>
      <c r="K170" s="51">
        <f t="shared" si="38"/>
        <v>1708136.1298773212</v>
      </c>
      <c r="L170" s="51">
        <f t="shared" si="31"/>
        <v>58919899.199014775</v>
      </c>
      <c r="M170" s="58">
        <f t="shared" si="32"/>
        <v>0</v>
      </c>
      <c r="N170" s="58">
        <f t="shared" ca="1" si="33"/>
        <v>-24918.122520174649</v>
      </c>
      <c r="O170" s="58">
        <f t="shared" si="34"/>
        <v>-198000</v>
      </c>
      <c r="P170" s="121">
        <f t="shared" si="42"/>
        <v>151</v>
      </c>
      <c r="Q170" s="124">
        <f t="shared" ca="1" si="39"/>
        <v>-2483525.3107235627</v>
      </c>
      <c r="R170" s="46"/>
    </row>
    <row r="171" spans="3:18" x14ac:dyDescent="0.2">
      <c r="C171" s="69">
        <f t="shared" ca="1" si="35"/>
        <v>48214</v>
      </c>
      <c r="D171" s="70">
        <f t="shared" ca="1" si="36"/>
        <v>47</v>
      </c>
      <c r="E171" s="69">
        <f t="shared" ca="1" si="40"/>
        <v>48561</v>
      </c>
      <c r="F171" s="65" t="s">
        <v>177</v>
      </c>
      <c r="G171" s="65"/>
      <c r="H171" s="122">
        <f t="shared" si="37"/>
        <v>152</v>
      </c>
      <c r="I171" s="123">
        <f t="shared" si="41"/>
        <v>-2260607.1882033879</v>
      </c>
      <c r="J171" s="58">
        <f t="shared" si="30"/>
        <v>536905.72175662324</v>
      </c>
      <c r="K171" s="51">
        <f t="shared" si="38"/>
        <v>1723701.4664467648</v>
      </c>
      <c r="L171" s="51">
        <f t="shared" si="31"/>
        <v>57196197.732568011</v>
      </c>
      <c r="M171" s="58">
        <f t="shared" si="32"/>
        <v>0</v>
      </c>
      <c r="N171" s="58">
        <f t="shared" ca="1" si="33"/>
        <v>-24216.078570795071</v>
      </c>
      <c r="O171" s="58">
        <f t="shared" si="34"/>
        <v>-198000</v>
      </c>
      <c r="P171" s="121">
        <f t="shared" si="42"/>
        <v>152</v>
      </c>
      <c r="Q171" s="124">
        <f t="shared" ca="1" si="39"/>
        <v>-2482823.2667741831</v>
      </c>
      <c r="R171" s="46"/>
    </row>
    <row r="172" spans="3:18" x14ac:dyDescent="0.2">
      <c r="C172" s="69">
        <f t="shared" ca="1" si="35"/>
        <v>48580</v>
      </c>
      <c r="D172" s="70">
        <f t="shared" ca="1" si="36"/>
        <v>48</v>
      </c>
      <c r="E172" s="69">
        <f t="shared" ca="1" si="40"/>
        <v>48592</v>
      </c>
      <c r="F172" s="65" t="s">
        <v>178</v>
      </c>
      <c r="G172" s="65"/>
      <c r="H172" s="122">
        <f t="shared" si="37"/>
        <v>153</v>
      </c>
      <c r="I172" s="123">
        <f t="shared" si="41"/>
        <v>-2260607.1882033879</v>
      </c>
      <c r="J172" s="58">
        <f t="shared" si="30"/>
        <v>521198.54654898093</v>
      </c>
      <c r="K172" s="51">
        <f t="shared" si="38"/>
        <v>1739408.6416544069</v>
      </c>
      <c r="L172" s="51">
        <f t="shared" si="31"/>
        <v>55456789.090913601</v>
      </c>
      <c r="M172" s="58">
        <f t="shared" si="32"/>
        <v>0</v>
      </c>
      <c r="N172" s="58">
        <f t="shared" ca="1" si="33"/>
        <v>-25623.896584190468</v>
      </c>
      <c r="O172" s="58">
        <f t="shared" si="34"/>
        <v>-198000</v>
      </c>
      <c r="P172" s="121">
        <f t="shared" si="42"/>
        <v>153</v>
      </c>
      <c r="Q172" s="124">
        <f t="shared" ca="1" si="39"/>
        <v>-2484231.0847875783</v>
      </c>
      <c r="R172" s="46"/>
    </row>
    <row r="173" spans="3:18" x14ac:dyDescent="0.2">
      <c r="C173" s="69">
        <f t="shared" ca="1" si="35"/>
        <v>48580</v>
      </c>
      <c r="D173" s="70">
        <f t="shared" ca="1" si="36"/>
        <v>48</v>
      </c>
      <c r="E173" s="69">
        <f t="shared" ca="1" si="40"/>
        <v>48623</v>
      </c>
      <c r="F173" s="65" t="s">
        <v>179</v>
      </c>
      <c r="G173" s="65"/>
      <c r="H173" s="122">
        <f t="shared" si="37"/>
        <v>154</v>
      </c>
      <c r="I173" s="123">
        <f t="shared" si="41"/>
        <v>-2260607.1882033879</v>
      </c>
      <c r="J173" s="58">
        <f t="shared" si="30"/>
        <v>505348.24020302598</v>
      </c>
      <c r="K173" s="51">
        <f t="shared" si="38"/>
        <v>1755258.9480003619</v>
      </c>
      <c r="L173" s="51">
        <f t="shared" si="31"/>
        <v>53701530.142913237</v>
      </c>
      <c r="M173" s="58">
        <f t="shared" si="32"/>
        <v>0</v>
      </c>
      <c r="N173" s="58">
        <f t="shared" ca="1" si="33"/>
        <v>-24844.641512729293</v>
      </c>
      <c r="O173" s="58">
        <f t="shared" si="34"/>
        <v>-198000</v>
      </c>
      <c r="P173" s="121">
        <f t="shared" si="42"/>
        <v>154</v>
      </c>
      <c r="Q173" s="124">
        <f t="shared" ca="1" si="39"/>
        <v>-2483451.8297161171</v>
      </c>
      <c r="R173" s="46"/>
    </row>
    <row r="174" spans="3:18" x14ac:dyDescent="0.2">
      <c r="C174" s="69">
        <f t="shared" ca="1" si="35"/>
        <v>48580</v>
      </c>
      <c r="D174" s="70">
        <f t="shared" ca="1" si="36"/>
        <v>48</v>
      </c>
      <c r="E174" s="69">
        <f t="shared" ca="1" si="40"/>
        <v>48651</v>
      </c>
      <c r="F174" s="65" t="s">
        <v>180</v>
      </c>
      <c r="G174" s="65"/>
      <c r="H174" s="122">
        <f t="shared" si="37"/>
        <v>155</v>
      </c>
      <c r="I174" s="123">
        <f t="shared" si="41"/>
        <v>-2260607.1882033879</v>
      </c>
      <c r="J174" s="58">
        <f t="shared" si="30"/>
        <v>489353.49844077829</v>
      </c>
      <c r="K174" s="51">
        <f t="shared" si="38"/>
        <v>1771253.6897626095</v>
      </c>
      <c r="L174" s="51">
        <f t="shared" si="31"/>
        <v>51930276.45315063</v>
      </c>
      <c r="M174" s="58">
        <f t="shared" si="32"/>
        <v>0</v>
      </c>
      <c r="N174" s="58">
        <f t="shared" ca="1" si="33"/>
        <v>-24058.285504025131</v>
      </c>
      <c r="O174" s="58">
        <f t="shared" si="34"/>
        <v>-198000</v>
      </c>
      <c r="P174" s="121">
        <f t="shared" si="42"/>
        <v>155</v>
      </c>
      <c r="Q174" s="124">
        <f t="shared" ca="1" si="39"/>
        <v>-2482665.4737074128</v>
      </c>
      <c r="R174" s="46"/>
    </row>
    <row r="175" spans="3:18" x14ac:dyDescent="0.2">
      <c r="C175" s="69">
        <f t="shared" ca="1" si="35"/>
        <v>48580</v>
      </c>
      <c r="D175" s="70">
        <f t="shared" ca="1" si="36"/>
        <v>48</v>
      </c>
      <c r="E175" s="69">
        <f t="shared" ca="1" si="40"/>
        <v>48682</v>
      </c>
      <c r="F175" s="65" t="s">
        <v>181</v>
      </c>
      <c r="G175" s="65"/>
      <c r="H175" s="122">
        <f t="shared" si="37"/>
        <v>156</v>
      </c>
      <c r="I175" s="123">
        <f t="shared" si="41"/>
        <v>-2260607.1882033879</v>
      </c>
      <c r="J175" s="58">
        <f t="shared" si="30"/>
        <v>473213.00509906572</v>
      </c>
      <c r="K175" s="51">
        <f t="shared" si="38"/>
        <v>1787394.1831043223</v>
      </c>
      <c r="L175" s="51">
        <f t="shared" si="31"/>
        <v>50142882.270046309</v>
      </c>
      <c r="M175" s="58">
        <f t="shared" si="32"/>
        <v>0</v>
      </c>
      <c r="N175" s="58">
        <f t="shared" ca="1" si="33"/>
        <v>-23264.763851011481</v>
      </c>
      <c r="O175" s="58">
        <f t="shared" si="34"/>
        <v>-198000</v>
      </c>
      <c r="P175" s="121">
        <f t="shared" si="42"/>
        <v>156</v>
      </c>
      <c r="Q175" s="124">
        <f t="shared" ca="1" si="39"/>
        <v>-2481871.9520543995</v>
      </c>
      <c r="R175" s="46"/>
    </row>
    <row r="176" spans="3:18" x14ac:dyDescent="0.2">
      <c r="C176" s="69">
        <f t="shared" ca="1" si="35"/>
        <v>48580</v>
      </c>
      <c r="D176" s="70">
        <f t="shared" ca="1" si="36"/>
        <v>48</v>
      </c>
      <c r="E176" s="69">
        <f t="shared" ca="1" si="40"/>
        <v>48712</v>
      </c>
      <c r="F176" s="65" t="s">
        <v>182</v>
      </c>
      <c r="G176" s="65"/>
      <c r="H176" s="122">
        <f t="shared" si="37"/>
        <v>157</v>
      </c>
      <c r="I176" s="123">
        <f t="shared" si="41"/>
        <v>-2260607.1882033879</v>
      </c>
      <c r="J176" s="58">
        <f t="shared" si="30"/>
        <v>456925.43202122068</v>
      </c>
      <c r="K176" s="51">
        <f t="shared" si="38"/>
        <v>1803681.7561821672</v>
      </c>
      <c r="L176" s="51">
        <f t="shared" si="31"/>
        <v>48339200.513864145</v>
      </c>
      <c r="M176" s="58">
        <f t="shared" si="32"/>
        <v>0</v>
      </c>
      <c r="N176" s="58">
        <f t="shared" ca="1" si="33"/>
        <v>-22464.011256980746</v>
      </c>
      <c r="O176" s="58">
        <f t="shared" si="34"/>
        <v>-198000</v>
      </c>
      <c r="P176" s="121">
        <f t="shared" si="42"/>
        <v>157</v>
      </c>
      <c r="Q176" s="124">
        <f t="shared" ca="1" si="39"/>
        <v>-2481071.1994603686</v>
      </c>
      <c r="R176" s="46"/>
    </row>
    <row r="177" spans="3:18" x14ac:dyDescent="0.2">
      <c r="C177" s="69">
        <f t="shared" ca="1" si="35"/>
        <v>48580</v>
      </c>
      <c r="D177" s="70">
        <f t="shared" ca="1" si="36"/>
        <v>48</v>
      </c>
      <c r="E177" s="69">
        <f t="shared" ca="1" si="40"/>
        <v>48743</v>
      </c>
      <c r="F177" s="65" t="s">
        <v>183</v>
      </c>
      <c r="G177" s="65"/>
      <c r="H177" s="122">
        <f t="shared" si="37"/>
        <v>158</v>
      </c>
      <c r="I177" s="123">
        <f t="shared" si="41"/>
        <v>-2260607.1882033879</v>
      </c>
      <c r="J177" s="58">
        <f t="shared" si="30"/>
        <v>440489.43894779001</v>
      </c>
      <c r="K177" s="51">
        <f t="shared" si="38"/>
        <v>1820117.7492555978</v>
      </c>
      <c r="L177" s="51">
        <f t="shared" si="31"/>
        <v>46519082.764608547</v>
      </c>
      <c r="M177" s="58">
        <f t="shared" si="32"/>
        <v>0</v>
      </c>
      <c r="N177" s="58">
        <f t="shared" ca="1" si="33"/>
        <v>-21655.961830211138</v>
      </c>
      <c r="O177" s="58">
        <f t="shared" si="34"/>
        <v>-198000</v>
      </c>
      <c r="P177" s="121">
        <f t="shared" si="42"/>
        <v>158</v>
      </c>
      <c r="Q177" s="124">
        <f t="shared" ca="1" si="39"/>
        <v>-2480263.1500335992</v>
      </c>
      <c r="R177" s="46"/>
    </row>
    <row r="178" spans="3:18" x14ac:dyDescent="0.2">
      <c r="C178" s="69">
        <f t="shared" ca="1" si="35"/>
        <v>48580</v>
      </c>
      <c r="D178" s="70">
        <f t="shared" ca="1" si="36"/>
        <v>48</v>
      </c>
      <c r="E178" s="69">
        <f t="shared" ca="1" si="40"/>
        <v>48773</v>
      </c>
      <c r="F178" s="65" t="s">
        <v>184</v>
      </c>
      <c r="G178" s="65"/>
      <c r="H178" s="122">
        <f t="shared" si="37"/>
        <v>159</v>
      </c>
      <c r="I178" s="123">
        <f t="shared" si="41"/>
        <v>-2260607.1882033879</v>
      </c>
      <c r="J178" s="58">
        <f t="shared" si="30"/>
        <v>423903.67340624856</v>
      </c>
      <c r="K178" s="51">
        <f t="shared" si="38"/>
        <v>1836703.5147971394</v>
      </c>
      <c r="L178" s="51">
        <f t="shared" si="31"/>
        <v>44682379.249811411</v>
      </c>
      <c r="M178" s="58">
        <f t="shared" si="32"/>
        <v>0</v>
      </c>
      <c r="N178" s="58">
        <f t="shared" ca="1" si="33"/>
        <v>-20840.549078544627</v>
      </c>
      <c r="O178" s="58">
        <f t="shared" si="34"/>
        <v>-198000</v>
      </c>
      <c r="P178" s="121">
        <f t="shared" si="42"/>
        <v>159</v>
      </c>
      <c r="Q178" s="124">
        <f t="shared" ca="1" si="39"/>
        <v>-2479447.7372819325</v>
      </c>
      <c r="R178" s="46"/>
    </row>
    <row r="179" spans="3:18" x14ac:dyDescent="0.2">
      <c r="C179" s="69">
        <f t="shared" ca="1" si="35"/>
        <v>48580</v>
      </c>
      <c r="D179" s="70">
        <f t="shared" ca="1" si="36"/>
        <v>48</v>
      </c>
      <c r="E179" s="69">
        <f t="shared" ca="1" si="40"/>
        <v>48804</v>
      </c>
      <c r="F179" s="65" t="s">
        <v>185</v>
      </c>
      <c r="G179" s="65"/>
      <c r="H179" s="122">
        <f t="shared" si="37"/>
        <v>160</v>
      </c>
      <c r="I179" s="123">
        <f t="shared" si="41"/>
        <v>-2260607.1882033879</v>
      </c>
      <c r="J179" s="58">
        <f t="shared" si="30"/>
        <v>407166.7705997079</v>
      </c>
      <c r="K179" s="51">
        <f t="shared" si="38"/>
        <v>1853440.4176036799</v>
      </c>
      <c r="L179" s="51">
        <f t="shared" si="31"/>
        <v>42828938.832207732</v>
      </c>
      <c r="M179" s="58">
        <f t="shared" si="32"/>
        <v>0</v>
      </c>
      <c r="N179" s="58">
        <f t="shared" ca="1" si="33"/>
        <v>-20017.70590391551</v>
      </c>
      <c r="O179" s="58">
        <f t="shared" si="34"/>
        <v>-198000</v>
      </c>
      <c r="P179" s="121">
        <f t="shared" si="42"/>
        <v>160</v>
      </c>
      <c r="Q179" s="124">
        <f t="shared" ca="1" si="39"/>
        <v>-2478624.8941073036</v>
      </c>
      <c r="R179" s="46"/>
    </row>
    <row r="180" spans="3:18" x14ac:dyDescent="0.2">
      <c r="C180" s="69">
        <f t="shared" ca="1" si="35"/>
        <v>48580</v>
      </c>
      <c r="D180" s="70">
        <f t="shared" ca="1" si="36"/>
        <v>48</v>
      </c>
      <c r="E180" s="69">
        <f t="shared" ca="1" si="40"/>
        <v>48835</v>
      </c>
      <c r="F180" s="65" t="s">
        <v>186</v>
      </c>
      <c r="G180" s="65"/>
      <c r="H180" s="122">
        <f t="shared" si="37"/>
        <v>161</v>
      </c>
      <c r="I180" s="123">
        <f t="shared" si="41"/>
        <v>-2260607.1882033879</v>
      </c>
      <c r="J180" s="58">
        <f t="shared" si="30"/>
        <v>390277.35329461109</v>
      </c>
      <c r="K180" s="51">
        <f t="shared" si="38"/>
        <v>1870329.8349087769</v>
      </c>
      <c r="L180" s="51">
        <f t="shared" si="31"/>
        <v>40958608.997298956</v>
      </c>
      <c r="M180" s="58">
        <f t="shared" si="32"/>
        <v>0</v>
      </c>
      <c r="N180" s="58">
        <f t="shared" ca="1" si="33"/>
        <v>-19187.364596829062</v>
      </c>
      <c r="O180" s="58">
        <f t="shared" si="34"/>
        <v>-198000</v>
      </c>
      <c r="P180" s="121">
        <f t="shared" si="42"/>
        <v>161</v>
      </c>
      <c r="Q180" s="124">
        <f t="shared" ca="1" si="39"/>
        <v>-2477794.5528002172</v>
      </c>
      <c r="R180" s="46"/>
    </row>
    <row r="181" spans="3:18" x14ac:dyDescent="0.2">
      <c r="C181" s="69">
        <f t="shared" ca="1" si="35"/>
        <v>48580</v>
      </c>
      <c r="D181" s="70">
        <f t="shared" ca="1" si="36"/>
        <v>48</v>
      </c>
      <c r="E181" s="69">
        <f t="shared" ca="1" si="40"/>
        <v>48865</v>
      </c>
      <c r="F181" s="65" t="s">
        <v>187</v>
      </c>
      <c r="G181" s="65"/>
      <c r="H181" s="122">
        <f t="shared" si="37"/>
        <v>162</v>
      </c>
      <c r="I181" s="123">
        <f t="shared" si="41"/>
        <v>-2260607.1882033879</v>
      </c>
      <c r="J181" s="58">
        <f t="shared" si="30"/>
        <v>373234.03170740383</v>
      </c>
      <c r="K181" s="51">
        <f t="shared" si="38"/>
        <v>1887373.1564959842</v>
      </c>
      <c r="L181" s="51">
        <f t="shared" si="31"/>
        <v>39071235.840802975</v>
      </c>
      <c r="M181" s="58">
        <f t="shared" si="32"/>
        <v>0</v>
      </c>
      <c r="N181" s="58">
        <f t="shared" ca="1" si="33"/>
        <v>-18349.456830789932</v>
      </c>
      <c r="O181" s="58">
        <f t="shared" si="34"/>
        <v>-198000</v>
      </c>
      <c r="P181" s="121">
        <f t="shared" si="42"/>
        <v>162</v>
      </c>
      <c r="Q181" s="124">
        <f t="shared" ca="1" si="39"/>
        <v>-2476956.6450341777</v>
      </c>
      <c r="R181" s="46"/>
    </row>
    <row r="182" spans="3:18" x14ac:dyDescent="0.2">
      <c r="C182" s="69">
        <f t="shared" ca="1" si="35"/>
        <v>48580</v>
      </c>
      <c r="D182" s="70">
        <f t="shared" ca="1" si="36"/>
        <v>48</v>
      </c>
      <c r="E182" s="69">
        <f t="shared" ca="1" si="40"/>
        <v>48896</v>
      </c>
      <c r="F182" s="65" t="s">
        <v>188</v>
      </c>
      <c r="G182" s="65"/>
      <c r="H182" s="122">
        <f t="shared" si="37"/>
        <v>163</v>
      </c>
      <c r="I182" s="123">
        <f t="shared" si="41"/>
        <v>-2260607.1882033879</v>
      </c>
      <c r="J182" s="58">
        <f t="shared" si="30"/>
        <v>356035.40339017322</v>
      </c>
      <c r="K182" s="51">
        <f t="shared" si="38"/>
        <v>1904571.7848132146</v>
      </c>
      <c r="L182" s="51">
        <f t="shared" si="31"/>
        <v>37166664.055989757</v>
      </c>
      <c r="M182" s="58">
        <f t="shared" si="32"/>
        <v>0</v>
      </c>
      <c r="N182" s="58">
        <f t="shared" ca="1" si="33"/>
        <v>-17503.913656679732</v>
      </c>
      <c r="O182" s="58">
        <f t="shared" si="34"/>
        <v>-198000</v>
      </c>
      <c r="P182" s="121">
        <f t="shared" si="42"/>
        <v>163</v>
      </c>
      <c r="Q182" s="124">
        <f t="shared" ca="1" si="39"/>
        <v>-2476111.1018600678</v>
      </c>
      <c r="R182" s="46"/>
    </row>
    <row r="183" spans="3:18" x14ac:dyDescent="0.2">
      <c r="C183" s="69">
        <f t="shared" ca="1" si="35"/>
        <v>48580</v>
      </c>
      <c r="D183" s="70">
        <f t="shared" ca="1" si="36"/>
        <v>48</v>
      </c>
      <c r="E183" s="69">
        <f t="shared" ca="1" si="40"/>
        <v>48926</v>
      </c>
      <c r="F183" s="65" t="s">
        <v>189</v>
      </c>
      <c r="G183" s="65"/>
      <c r="H183" s="122">
        <f t="shared" si="37"/>
        <v>164</v>
      </c>
      <c r="I183" s="123">
        <f t="shared" si="41"/>
        <v>-2260607.1882033879</v>
      </c>
      <c r="J183" s="58">
        <f t="shared" si="30"/>
        <v>338680.05311524367</v>
      </c>
      <c r="K183" s="51">
        <f t="shared" si="38"/>
        <v>1921927.1350881443</v>
      </c>
      <c r="L183" s="51">
        <f t="shared" si="31"/>
        <v>35244736.920901611</v>
      </c>
      <c r="M183" s="58">
        <f t="shared" si="32"/>
        <v>0</v>
      </c>
      <c r="N183" s="58">
        <f t="shared" ca="1" si="33"/>
        <v>-16650.66549708341</v>
      </c>
      <c r="O183" s="58">
        <f t="shared" si="34"/>
        <v>-198000</v>
      </c>
      <c r="P183" s="121">
        <f t="shared" si="42"/>
        <v>164</v>
      </c>
      <c r="Q183" s="124">
        <f t="shared" ca="1" si="39"/>
        <v>-2475257.8537004711</v>
      </c>
      <c r="R183" s="46"/>
    </row>
    <row r="184" spans="3:18" x14ac:dyDescent="0.2">
      <c r="C184" s="69">
        <f t="shared" ca="1" si="35"/>
        <v>48945</v>
      </c>
      <c r="D184" s="70">
        <f t="shared" ca="1" si="36"/>
        <v>49</v>
      </c>
      <c r="E184" s="69">
        <f t="shared" ca="1" si="40"/>
        <v>48957</v>
      </c>
      <c r="F184" s="65" t="s">
        <v>190</v>
      </c>
      <c r="G184" s="65"/>
      <c r="H184" s="122">
        <f t="shared" si="37"/>
        <v>165</v>
      </c>
      <c r="I184" s="123">
        <f t="shared" si="41"/>
        <v>-2260607.1882033879</v>
      </c>
      <c r="J184" s="58">
        <f t="shared" si="30"/>
        <v>321166.55275872245</v>
      </c>
      <c r="K184" s="51">
        <f t="shared" si="38"/>
        <v>1939440.6354446653</v>
      </c>
      <c r="L184" s="51">
        <f t="shared" si="31"/>
        <v>33305296.285456948</v>
      </c>
      <c r="M184" s="58">
        <f t="shared" si="32"/>
        <v>0</v>
      </c>
      <c r="N184" s="58">
        <f t="shared" ca="1" si="33"/>
        <v>-17234.676354320887</v>
      </c>
      <c r="O184" s="58">
        <f t="shared" si="34"/>
        <v>-198000</v>
      </c>
      <c r="P184" s="121">
        <f t="shared" si="42"/>
        <v>165</v>
      </c>
      <c r="Q184" s="124">
        <f t="shared" ca="1" si="39"/>
        <v>-2475841.8645577086</v>
      </c>
      <c r="R184" s="46"/>
    </row>
    <row r="185" spans="3:18" x14ac:dyDescent="0.2">
      <c r="C185" s="69">
        <f t="shared" ca="1" si="35"/>
        <v>48945</v>
      </c>
      <c r="D185" s="70">
        <f t="shared" ca="1" si="36"/>
        <v>49</v>
      </c>
      <c r="E185" s="69">
        <f t="shared" ca="1" si="40"/>
        <v>48988</v>
      </c>
      <c r="F185" s="65" t="s">
        <v>191</v>
      </c>
      <c r="G185" s="65"/>
      <c r="H185" s="122">
        <f t="shared" si="37"/>
        <v>166</v>
      </c>
      <c r="I185" s="123">
        <f t="shared" si="41"/>
        <v>-2260607.1882033879</v>
      </c>
      <c r="J185" s="58">
        <f t="shared" si="30"/>
        <v>303493.46118298272</v>
      </c>
      <c r="K185" s="51">
        <f t="shared" si="38"/>
        <v>1957113.7270204052</v>
      </c>
      <c r="L185" s="51">
        <f t="shared" si="31"/>
        <v>31348182.558436543</v>
      </c>
      <c r="M185" s="58">
        <f t="shared" si="32"/>
        <v>0</v>
      </c>
      <c r="N185" s="58">
        <f t="shared" ca="1" si="33"/>
        <v>-16286.289883588446</v>
      </c>
      <c r="O185" s="58">
        <f t="shared" si="34"/>
        <v>-198000</v>
      </c>
      <c r="P185" s="121">
        <f t="shared" si="42"/>
        <v>166</v>
      </c>
      <c r="Q185" s="124">
        <f t="shared" ca="1" si="39"/>
        <v>-2474893.4780869763</v>
      </c>
      <c r="R185" s="46"/>
    </row>
    <row r="186" spans="3:18" x14ac:dyDescent="0.2">
      <c r="C186" s="69">
        <f t="shared" ca="1" si="35"/>
        <v>48945</v>
      </c>
      <c r="D186" s="70">
        <f t="shared" ca="1" si="36"/>
        <v>49</v>
      </c>
      <c r="E186" s="69">
        <f t="shared" ca="1" si="40"/>
        <v>49016</v>
      </c>
      <c r="F186" s="65" t="s">
        <v>192</v>
      </c>
      <c r="G186" s="65"/>
      <c r="H186" s="122">
        <f t="shared" si="37"/>
        <v>167</v>
      </c>
      <c r="I186" s="123">
        <f t="shared" si="41"/>
        <v>-2260607.1882033879</v>
      </c>
      <c r="J186" s="58">
        <f t="shared" si="30"/>
        <v>285659.32411807653</v>
      </c>
      <c r="K186" s="51">
        <f t="shared" si="38"/>
        <v>1974947.8640853113</v>
      </c>
      <c r="L186" s="51">
        <f t="shared" si="31"/>
        <v>29373234.69435123</v>
      </c>
      <c r="M186" s="58">
        <f t="shared" si="32"/>
        <v>0</v>
      </c>
      <c r="N186" s="58">
        <f t="shared" ca="1" si="33"/>
        <v>-15329.261271075467</v>
      </c>
      <c r="O186" s="58">
        <f t="shared" si="34"/>
        <v>-198000</v>
      </c>
      <c r="P186" s="121">
        <f t="shared" si="42"/>
        <v>167</v>
      </c>
      <c r="Q186" s="124">
        <f t="shared" ca="1" si="39"/>
        <v>-2473936.4494744632</v>
      </c>
      <c r="R186" s="46"/>
    </row>
    <row r="187" spans="3:18" x14ac:dyDescent="0.2">
      <c r="C187" s="69">
        <f t="shared" ca="1" si="35"/>
        <v>48945</v>
      </c>
      <c r="D187" s="70">
        <f t="shared" ca="1" si="36"/>
        <v>49</v>
      </c>
      <c r="E187" s="69">
        <f t="shared" ca="1" si="40"/>
        <v>49047</v>
      </c>
      <c r="F187" s="65" t="s">
        <v>193</v>
      </c>
      <c r="G187" s="65"/>
      <c r="H187" s="122">
        <f t="shared" si="37"/>
        <v>168</v>
      </c>
      <c r="I187" s="123">
        <f t="shared" si="41"/>
        <v>-2260607.1882033879</v>
      </c>
      <c r="J187" s="58">
        <f t="shared" si="30"/>
        <v>267662.67404206697</v>
      </c>
      <c r="K187" s="51">
        <f t="shared" si="38"/>
        <v>1992944.5141613209</v>
      </c>
      <c r="L187" s="51">
        <f t="shared" si="31"/>
        <v>27380290.180189908</v>
      </c>
      <c r="M187" s="58">
        <f t="shared" si="32"/>
        <v>0</v>
      </c>
      <c r="N187" s="58">
        <f t="shared" ca="1" si="33"/>
        <v>-14363.511765537751</v>
      </c>
      <c r="O187" s="58">
        <f t="shared" si="34"/>
        <v>-198000</v>
      </c>
      <c r="P187" s="121">
        <f t="shared" si="42"/>
        <v>168</v>
      </c>
      <c r="Q187" s="124">
        <f t="shared" ca="1" si="39"/>
        <v>-2472970.6999689257</v>
      </c>
      <c r="R187" s="46"/>
    </row>
    <row r="188" spans="3:18" x14ac:dyDescent="0.2">
      <c r="C188" s="69">
        <f t="shared" ca="1" si="35"/>
        <v>48945</v>
      </c>
      <c r="D188" s="70">
        <f t="shared" ca="1" si="36"/>
        <v>49</v>
      </c>
      <c r="E188" s="69">
        <f t="shared" ca="1" si="40"/>
        <v>49077</v>
      </c>
      <c r="F188" s="65" t="s">
        <v>194</v>
      </c>
      <c r="G188" s="65"/>
      <c r="H188" s="122">
        <f t="shared" si="37"/>
        <v>169</v>
      </c>
      <c r="I188" s="123">
        <f t="shared" si="41"/>
        <v>-2260607.1882033879</v>
      </c>
      <c r="J188" s="58">
        <f t="shared" si="30"/>
        <v>249502.03006026972</v>
      </c>
      <c r="K188" s="51">
        <f t="shared" si="38"/>
        <v>2011105.1581431183</v>
      </c>
      <c r="L188" s="51">
        <f t="shared" si="31"/>
        <v>25369185.02204679</v>
      </c>
      <c r="M188" s="58">
        <f t="shared" si="32"/>
        <v>0</v>
      </c>
      <c r="N188" s="58">
        <f t="shared" ca="1" si="33"/>
        <v>-13388.961898112864</v>
      </c>
      <c r="O188" s="58">
        <f t="shared" si="34"/>
        <v>-198000</v>
      </c>
      <c r="P188" s="121">
        <f t="shared" si="42"/>
        <v>169</v>
      </c>
      <c r="Q188" s="124">
        <f t="shared" ca="1" si="39"/>
        <v>-2471996.1501015006</v>
      </c>
      <c r="R188" s="46"/>
    </row>
    <row r="189" spans="3:18" x14ac:dyDescent="0.2">
      <c r="C189" s="69">
        <f t="shared" ca="1" si="35"/>
        <v>48945</v>
      </c>
      <c r="D189" s="70">
        <f t="shared" ca="1" si="36"/>
        <v>49</v>
      </c>
      <c r="E189" s="69">
        <f t="shared" ca="1" si="40"/>
        <v>49108</v>
      </c>
      <c r="F189" s="65" t="s">
        <v>195</v>
      </c>
      <c r="G189" s="65"/>
      <c r="H189" s="122">
        <f t="shared" si="37"/>
        <v>170</v>
      </c>
      <c r="I189" s="123">
        <f t="shared" si="41"/>
        <v>-2260607.1882033879</v>
      </c>
      <c r="J189" s="58">
        <f t="shared" si="30"/>
        <v>231175.8977833945</v>
      </c>
      <c r="K189" s="51">
        <f t="shared" si="38"/>
        <v>2029431.2904199935</v>
      </c>
      <c r="L189" s="51">
        <f t="shared" si="31"/>
        <v>23339753.731626797</v>
      </c>
      <c r="M189" s="58">
        <f t="shared" si="32"/>
        <v>0</v>
      </c>
      <c r="N189" s="58">
        <f t="shared" ca="1" si="33"/>
        <v>-12405.531475780879</v>
      </c>
      <c r="O189" s="58">
        <f t="shared" si="34"/>
        <v>-198000</v>
      </c>
      <c r="P189" s="121">
        <f t="shared" si="42"/>
        <v>170</v>
      </c>
      <c r="Q189" s="124">
        <f t="shared" ca="1" si="39"/>
        <v>-2471012.7196791689</v>
      </c>
      <c r="R189" s="46"/>
    </row>
    <row r="190" spans="3:18" x14ac:dyDescent="0.2">
      <c r="C190" s="69">
        <f t="shared" ca="1" si="35"/>
        <v>48945</v>
      </c>
      <c r="D190" s="70">
        <f t="shared" ca="1" si="36"/>
        <v>49</v>
      </c>
      <c r="E190" s="69">
        <f t="shared" ca="1" si="40"/>
        <v>49138</v>
      </c>
      <c r="F190" s="65" t="s">
        <v>196</v>
      </c>
      <c r="G190" s="65"/>
      <c r="H190" s="122">
        <f t="shared" si="37"/>
        <v>171</v>
      </c>
      <c r="I190" s="123">
        <f t="shared" si="41"/>
        <v>-2260607.1882033879</v>
      </c>
      <c r="J190" s="58">
        <f t="shared" si="30"/>
        <v>212682.76920457574</v>
      </c>
      <c r="K190" s="51">
        <f t="shared" si="38"/>
        <v>2047924.4189988121</v>
      </c>
      <c r="L190" s="51">
        <f t="shared" si="31"/>
        <v>21291829.312627986</v>
      </c>
      <c r="M190" s="58">
        <f t="shared" si="32"/>
        <v>0</v>
      </c>
      <c r="N190" s="58">
        <f t="shared" ca="1" si="33"/>
        <v>-11413.139574765502</v>
      </c>
      <c r="O190" s="58">
        <f t="shared" si="34"/>
        <v>-198000</v>
      </c>
      <c r="P190" s="121">
        <f t="shared" si="42"/>
        <v>171</v>
      </c>
      <c r="Q190" s="124">
        <f t="shared" ca="1" si="39"/>
        <v>-2470020.3277781536</v>
      </c>
      <c r="R190" s="46"/>
    </row>
    <row r="191" spans="3:18" x14ac:dyDescent="0.2">
      <c r="C191" s="69">
        <f t="shared" ca="1" si="35"/>
        <v>48945</v>
      </c>
      <c r="D191" s="70">
        <f t="shared" ca="1" si="36"/>
        <v>49</v>
      </c>
      <c r="E191" s="69">
        <f t="shared" ca="1" si="40"/>
        <v>49169</v>
      </c>
      <c r="F191" s="65" t="s">
        <v>197</v>
      </c>
      <c r="G191" s="65"/>
      <c r="H191" s="122">
        <f t="shared" si="37"/>
        <v>172</v>
      </c>
      <c r="I191" s="123">
        <f t="shared" si="41"/>
        <v>-2260607.1882033879</v>
      </c>
      <c r="J191" s="58">
        <f t="shared" si="30"/>
        <v>194021.12257528288</v>
      </c>
      <c r="K191" s="51">
        <f t="shared" si="38"/>
        <v>2066586.0656281051</v>
      </c>
      <c r="L191" s="51">
        <f t="shared" si="31"/>
        <v>19225243.246999882</v>
      </c>
      <c r="M191" s="58">
        <f t="shared" si="32"/>
        <v>0</v>
      </c>
      <c r="N191" s="58">
        <f t="shared" ca="1" si="33"/>
        <v>-10411.704533875085</v>
      </c>
      <c r="O191" s="58">
        <f t="shared" si="34"/>
        <v>-198000</v>
      </c>
      <c r="P191" s="121">
        <f t="shared" si="42"/>
        <v>172</v>
      </c>
      <c r="Q191" s="124">
        <f t="shared" ca="1" si="39"/>
        <v>-2469018.8927372629</v>
      </c>
      <c r="R191" s="46"/>
    </row>
    <row r="192" spans="3:18" x14ac:dyDescent="0.2">
      <c r="C192" s="69">
        <f t="shared" ca="1" si="35"/>
        <v>48945</v>
      </c>
      <c r="D192" s="70">
        <f t="shared" ca="1" si="36"/>
        <v>49</v>
      </c>
      <c r="E192" s="69">
        <f t="shared" ca="1" si="40"/>
        <v>49200</v>
      </c>
      <c r="F192" s="65" t="s">
        <v>198</v>
      </c>
      <c r="G192" s="65"/>
      <c r="H192" s="122">
        <f t="shared" si="37"/>
        <v>173</v>
      </c>
      <c r="I192" s="123">
        <f t="shared" si="41"/>
        <v>-2260607.1882033879</v>
      </c>
      <c r="J192" s="58">
        <f t="shared" si="30"/>
        <v>175189.42228009988</v>
      </c>
      <c r="K192" s="51">
        <f t="shared" si="38"/>
        <v>2085417.765923288</v>
      </c>
      <c r="L192" s="51">
        <f t="shared" si="31"/>
        <v>17139825.481076594</v>
      </c>
      <c r="M192" s="58">
        <f t="shared" si="32"/>
        <v>0</v>
      </c>
      <c r="N192" s="58">
        <f t="shared" ca="1" si="33"/>
        <v>-9401.1439477829408</v>
      </c>
      <c r="O192" s="58">
        <f t="shared" si="34"/>
        <v>-198000</v>
      </c>
      <c r="P192" s="121">
        <f t="shared" si="42"/>
        <v>173</v>
      </c>
      <c r="Q192" s="124">
        <f t="shared" ca="1" si="39"/>
        <v>-2468008.3321511708</v>
      </c>
      <c r="R192" s="46"/>
    </row>
    <row r="193" spans="3:18" x14ac:dyDescent="0.2">
      <c r="C193" s="69">
        <f t="shared" ca="1" si="35"/>
        <v>48945</v>
      </c>
      <c r="D193" s="70">
        <f t="shared" ca="1" si="36"/>
        <v>49</v>
      </c>
      <c r="E193" s="69">
        <f t="shared" ca="1" si="40"/>
        <v>49230</v>
      </c>
      <c r="F193" s="65" t="s">
        <v>199</v>
      </c>
      <c r="G193" s="65"/>
      <c r="H193" s="122">
        <f t="shared" si="37"/>
        <v>174</v>
      </c>
      <c r="I193" s="123">
        <f t="shared" si="41"/>
        <v>-2260607.1882033879</v>
      </c>
      <c r="J193" s="58">
        <f t="shared" si="30"/>
        <v>156186.11871036381</v>
      </c>
      <c r="K193" s="51">
        <f t="shared" si="38"/>
        <v>2104421.0694930241</v>
      </c>
      <c r="L193" s="51">
        <f t="shared" si="31"/>
        <v>15035404.411583571</v>
      </c>
      <c r="M193" s="58">
        <f t="shared" si="32"/>
        <v>0</v>
      </c>
      <c r="N193" s="58">
        <f t="shared" ca="1" si="33"/>
        <v>-8381.3746602464544</v>
      </c>
      <c r="O193" s="58">
        <f t="shared" si="34"/>
        <v>-198000</v>
      </c>
      <c r="P193" s="121">
        <f t="shared" si="42"/>
        <v>174</v>
      </c>
      <c r="Q193" s="124">
        <f t="shared" ca="1" si="39"/>
        <v>-2466988.5628636344</v>
      </c>
      <c r="R193" s="46"/>
    </row>
    <row r="194" spans="3:18" x14ac:dyDescent="0.2">
      <c r="C194" s="69">
        <f t="shared" ca="1" si="35"/>
        <v>48945</v>
      </c>
      <c r="D194" s="70">
        <f t="shared" ca="1" si="36"/>
        <v>49</v>
      </c>
      <c r="E194" s="69">
        <f t="shared" ca="1" si="40"/>
        <v>49261</v>
      </c>
      <c r="F194" s="65" t="s">
        <v>200</v>
      </c>
      <c r="G194" s="65"/>
      <c r="H194" s="122">
        <f t="shared" si="37"/>
        <v>175</v>
      </c>
      <c r="I194" s="123">
        <f t="shared" si="41"/>
        <v>-2260607.1882033879</v>
      </c>
      <c r="J194" s="58">
        <f t="shared" si="30"/>
        <v>137009.64813665158</v>
      </c>
      <c r="K194" s="51">
        <f t="shared" si="38"/>
        <v>2123597.5400667363</v>
      </c>
      <c r="L194" s="51">
        <f t="shared" si="31"/>
        <v>12911806.871516835</v>
      </c>
      <c r="M194" s="58">
        <f t="shared" si="32"/>
        <v>0</v>
      </c>
      <c r="N194" s="58">
        <f t="shared" ca="1" si="33"/>
        <v>-7352.3127572643652</v>
      </c>
      <c r="O194" s="58">
        <f t="shared" si="34"/>
        <v>-198000</v>
      </c>
      <c r="P194" s="121">
        <f t="shared" si="42"/>
        <v>175</v>
      </c>
      <c r="Q194" s="124">
        <f t="shared" ca="1" si="39"/>
        <v>-2465959.5009606523</v>
      </c>
      <c r="R194" s="46"/>
    </row>
    <row r="195" spans="3:18" x14ac:dyDescent="0.2">
      <c r="C195" s="69">
        <f t="shared" ca="1" si="35"/>
        <v>48945</v>
      </c>
      <c r="D195" s="70">
        <f t="shared" ca="1" si="36"/>
        <v>49</v>
      </c>
      <c r="E195" s="69">
        <f t="shared" ca="1" si="40"/>
        <v>49291</v>
      </c>
      <c r="F195" s="65" t="s">
        <v>201</v>
      </c>
      <c r="G195" s="65"/>
      <c r="H195" s="122">
        <f t="shared" si="37"/>
        <v>176</v>
      </c>
      <c r="I195" s="123">
        <f t="shared" si="41"/>
        <v>-2260607.1882033879</v>
      </c>
      <c r="J195" s="58">
        <f t="shared" si="30"/>
        <v>117658.43258010519</v>
      </c>
      <c r="K195" s="51">
        <f t="shared" si="38"/>
        <v>2142948.7556232829</v>
      </c>
      <c r="L195" s="51">
        <f t="shared" si="31"/>
        <v>10768858.115893552</v>
      </c>
      <c r="M195" s="58">
        <f t="shared" si="32"/>
        <v>0</v>
      </c>
      <c r="N195" s="58">
        <f t="shared" ca="1" si="33"/>
        <v>-6313.8735601717317</v>
      </c>
      <c r="O195" s="58">
        <f t="shared" si="34"/>
        <v>-198000</v>
      </c>
      <c r="P195" s="121">
        <f t="shared" si="42"/>
        <v>176</v>
      </c>
      <c r="Q195" s="124">
        <f t="shared" ca="1" si="39"/>
        <v>-2464921.0617635595</v>
      </c>
      <c r="R195" s="46"/>
    </row>
    <row r="196" spans="3:18" x14ac:dyDescent="0.2">
      <c r="C196" s="69">
        <f t="shared" ca="1" si="35"/>
        <v>49310</v>
      </c>
      <c r="D196" s="70">
        <f t="shared" ca="1" si="36"/>
        <v>50</v>
      </c>
      <c r="E196" s="69">
        <f t="shared" ca="1" si="40"/>
        <v>49322</v>
      </c>
      <c r="F196" s="65" t="s">
        <v>202</v>
      </c>
      <c r="G196" s="65"/>
      <c r="H196" s="122">
        <f t="shared" si="37"/>
        <v>177</v>
      </c>
      <c r="I196" s="123">
        <f t="shared" si="41"/>
        <v>-2260607.1882033879</v>
      </c>
      <c r="J196" s="58">
        <f t="shared" si="30"/>
        <v>98130.879682584025</v>
      </c>
      <c r="K196" s="51">
        <f t="shared" si="38"/>
        <v>2162476.3085208037</v>
      </c>
      <c r="L196" s="51">
        <f t="shared" si="31"/>
        <v>8606381.8073727489</v>
      </c>
      <c r="M196" s="58">
        <f t="shared" si="32"/>
        <v>0</v>
      </c>
      <c r="N196" s="58">
        <f t="shared" ca="1" si="33"/>
        <v>-5750.5702338871579</v>
      </c>
      <c r="O196" s="58">
        <f t="shared" si="34"/>
        <v>-198000</v>
      </c>
      <c r="P196" s="121">
        <f t="shared" si="42"/>
        <v>177</v>
      </c>
      <c r="Q196" s="124">
        <f t="shared" ca="1" si="39"/>
        <v>-2464357.758437275</v>
      </c>
      <c r="R196" s="46"/>
    </row>
    <row r="197" spans="3:18" x14ac:dyDescent="0.2">
      <c r="C197" s="69">
        <f t="shared" ca="1" si="35"/>
        <v>49310</v>
      </c>
      <c r="D197" s="70">
        <f t="shared" ca="1" si="36"/>
        <v>50</v>
      </c>
      <c r="E197" s="69">
        <f t="shared" ca="1" si="40"/>
        <v>49353</v>
      </c>
      <c r="F197" s="65" t="s">
        <v>203</v>
      </c>
      <c r="G197" s="65"/>
      <c r="H197" s="122">
        <f t="shared" si="37"/>
        <v>178</v>
      </c>
      <c r="I197" s="123">
        <f t="shared" si="41"/>
        <v>-2260607.1882033879</v>
      </c>
      <c r="J197" s="58">
        <f t="shared" si="30"/>
        <v>78425.382575634212</v>
      </c>
      <c r="K197" s="51">
        <f t="shared" si="38"/>
        <v>2182181.8056277535</v>
      </c>
      <c r="L197" s="51">
        <f t="shared" si="31"/>
        <v>6424200.0017449949</v>
      </c>
      <c r="M197" s="58">
        <f t="shared" si="32"/>
        <v>0</v>
      </c>
      <c r="N197" s="58">
        <f t="shared" ca="1" si="33"/>
        <v>-4595.8078851370483</v>
      </c>
      <c r="O197" s="58">
        <f t="shared" si="34"/>
        <v>-198000</v>
      </c>
      <c r="P197" s="121">
        <f t="shared" si="42"/>
        <v>178</v>
      </c>
      <c r="Q197" s="124">
        <f t="shared" ca="1" si="39"/>
        <v>-2463202.9960885248</v>
      </c>
      <c r="R197" s="46"/>
    </row>
    <row r="198" spans="3:18" x14ac:dyDescent="0.2">
      <c r="C198" s="69">
        <f t="shared" ca="1" si="35"/>
        <v>49310</v>
      </c>
      <c r="D198" s="70">
        <f t="shared" ca="1" si="36"/>
        <v>50</v>
      </c>
      <c r="E198" s="69">
        <f t="shared" ca="1" si="40"/>
        <v>49381</v>
      </c>
      <c r="F198" s="65" t="s">
        <v>204</v>
      </c>
      <c r="G198" s="65"/>
      <c r="H198" s="122">
        <f t="shared" si="37"/>
        <v>179</v>
      </c>
      <c r="I198" s="123">
        <f t="shared" si="41"/>
        <v>-2260607.1882033879</v>
      </c>
      <c r="J198" s="58">
        <f t="shared" si="30"/>
        <v>58540.319748263799</v>
      </c>
      <c r="K198" s="51">
        <f t="shared" si="38"/>
        <v>2202066.8684551241</v>
      </c>
      <c r="L198" s="51">
        <f t="shared" si="31"/>
        <v>4222133.1332898708</v>
      </c>
      <c r="M198" s="58">
        <f t="shared" si="32"/>
        <v>0</v>
      </c>
      <c r="N198" s="58">
        <f t="shared" ca="1" si="33"/>
        <v>-3430.522800931828</v>
      </c>
      <c r="O198" s="58">
        <f t="shared" si="34"/>
        <v>-198000</v>
      </c>
      <c r="P198" s="121">
        <f t="shared" si="42"/>
        <v>179</v>
      </c>
      <c r="Q198" s="124">
        <f t="shared" ca="1" si="39"/>
        <v>-2462037.7110043196</v>
      </c>
      <c r="R198" s="46"/>
    </row>
    <row r="199" spans="3:18" x14ac:dyDescent="0.2">
      <c r="C199" s="69">
        <f t="shared" ca="1" si="35"/>
        <v>49310</v>
      </c>
      <c r="D199" s="70">
        <f t="shared" ca="1" si="36"/>
        <v>50</v>
      </c>
      <c r="E199" s="69">
        <f t="shared" ca="1" si="40"/>
        <v>49412</v>
      </c>
      <c r="F199" s="65" t="s">
        <v>205</v>
      </c>
      <c r="G199" s="65"/>
      <c r="H199" s="122">
        <f t="shared" si="37"/>
        <v>180</v>
      </c>
      <c r="I199" s="123">
        <f t="shared" si="41"/>
        <v>-4260607.1882033879</v>
      </c>
      <c r="J199" s="58">
        <f t="shared" si="30"/>
        <v>38474.054913513108</v>
      </c>
      <c r="K199" s="51">
        <f t="shared" si="38"/>
        <v>4222133.1332898745</v>
      </c>
      <c r="L199" s="51">
        <f>+L198-K199</f>
        <v>0</v>
      </c>
      <c r="M199" s="58">
        <f t="shared" si="32"/>
        <v>0</v>
      </c>
      <c r="N199" s="58">
        <f t="shared" ca="1" si="33"/>
        <v>-2254.6190931767915</v>
      </c>
      <c r="O199" s="58">
        <f t="shared" si="34"/>
        <v>-198000</v>
      </c>
      <c r="P199" s="121">
        <f t="shared" si="42"/>
        <v>180</v>
      </c>
      <c r="Q199" s="124">
        <f t="shared" ca="1" si="39"/>
        <v>-4460861.8072965648</v>
      </c>
    </row>
    <row r="200" spans="3:18" x14ac:dyDescent="0.2">
      <c r="C200" s="69">
        <f t="shared" ca="1" si="35"/>
        <v>49310</v>
      </c>
      <c r="D200" s="70">
        <f t="shared" ca="1" si="36"/>
        <v>50</v>
      </c>
      <c r="E200" s="69">
        <f t="shared" ca="1" si="40"/>
        <v>49442</v>
      </c>
      <c r="F200" s="65" t="s">
        <v>216</v>
      </c>
      <c r="G200" s="65"/>
      <c r="H200" s="122">
        <f t="shared" si="37"/>
        <v>181</v>
      </c>
      <c r="I200" s="123">
        <f t="shared" si="41"/>
        <v>0</v>
      </c>
      <c r="J200" s="58">
        <f t="shared" si="30"/>
        <v>0</v>
      </c>
      <c r="K200" s="51">
        <f t="shared" si="38"/>
        <v>0</v>
      </c>
      <c r="L200" s="51">
        <f t="shared" ref="L200:L259" si="43">+L199-K200</f>
        <v>0</v>
      </c>
      <c r="M200" s="58">
        <f t="shared" si="32"/>
        <v>0</v>
      </c>
      <c r="N200" s="58">
        <f t="shared" ca="1" si="33"/>
        <v>0</v>
      </c>
      <c r="O200" s="58">
        <f t="shared" si="34"/>
        <v>0</v>
      </c>
      <c r="P200" s="121">
        <f t="shared" si="42"/>
        <v>181</v>
      </c>
      <c r="Q200" s="124">
        <f t="shared" ca="1" si="39"/>
        <v>0</v>
      </c>
    </row>
    <row r="201" spans="3:18" x14ac:dyDescent="0.2">
      <c r="C201" s="69">
        <f t="shared" ca="1" si="35"/>
        <v>49310</v>
      </c>
      <c r="D201" s="70">
        <f t="shared" ca="1" si="36"/>
        <v>50</v>
      </c>
      <c r="E201" s="69">
        <f t="shared" ca="1" si="40"/>
        <v>49473</v>
      </c>
      <c r="F201" s="65" t="s">
        <v>217</v>
      </c>
      <c r="G201" s="65"/>
      <c r="H201" s="122">
        <f t="shared" si="37"/>
        <v>182</v>
      </c>
      <c r="I201" s="123">
        <f t="shared" si="41"/>
        <v>0</v>
      </c>
      <c r="J201" s="58">
        <f t="shared" si="30"/>
        <v>0</v>
      </c>
      <c r="K201" s="51">
        <f t="shared" si="38"/>
        <v>0</v>
      </c>
      <c r="L201" s="51">
        <f t="shared" si="43"/>
        <v>0</v>
      </c>
      <c r="M201" s="58">
        <f t="shared" si="32"/>
        <v>0</v>
      </c>
      <c r="N201" s="58">
        <f t="shared" ca="1" si="33"/>
        <v>0</v>
      </c>
      <c r="O201" s="58">
        <f t="shared" si="34"/>
        <v>0</v>
      </c>
      <c r="P201" s="121">
        <f t="shared" si="42"/>
        <v>182</v>
      </c>
      <c r="Q201" s="124">
        <f t="shared" ca="1" si="39"/>
        <v>0</v>
      </c>
    </row>
    <row r="202" spans="3:18" x14ac:dyDescent="0.2">
      <c r="C202" s="69">
        <f t="shared" ca="1" si="35"/>
        <v>49310</v>
      </c>
      <c r="D202" s="70">
        <f t="shared" ca="1" si="36"/>
        <v>50</v>
      </c>
      <c r="E202" s="69">
        <f t="shared" ca="1" si="40"/>
        <v>49503</v>
      </c>
      <c r="F202" s="65" t="s">
        <v>218</v>
      </c>
      <c r="G202" s="65"/>
      <c r="H202" s="122">
        <f t="shared" si="37"/>
        <v>183</v>
      </c>
      <c r="I202" s="123">
        <f t="shared" si="41"/>
        <v>0</v>
      </c>
      <c r="J202" s="58">
        <f t="shared" si="30"/>
        <v>0</v>
      </c>
      <c r="K202" s="51">
        <f t="shared" si="38"/>
        <v>0</v>
      </c>
      <c r="L202" s="51">
        <f t="shared" si="43"/>
        <v>0</v>
      </c>
      <c r="M202" s="58">
        <f t="shared" si="32"/>
        <v>0</v>
      </c>
      <c r="N202" s="58">
        <f t="shared" ca="1" si="33"/>
        <v>0</v>
      </c>
      <c r="O202" s="58">
        <f t="shared" si="34"/>
        <v>0</v>
      </c>
      <c r="P202" s="121">
        <f t="shared" si="42"/>
        <v>183</v>
      </c>
      <c r="Q202" s="124">
        <f t="shared" ca="1" si="39"/>
        <v>0</v>
      </c>
    </row>
    <row r="203" spans="3:18" x14ac:dyDescent="0.2">
      <c r="C203" s="69">
        <f t="shared" ca="1" si="35"/>
        <v>49310</v>
      </c>
      <c r="D203" s="70">
        <f t="shared" ca="1" si="36"/>
        <v>50</v>
      </c>
      <c r="E203" s="69">
        <f t="shared" ca="1" si="40"/>
        <v>49534</v>
      </c>
      <c r="F203" s="65" t="s">
        <v>219</v>
      </c>
      <c r="G203" s="65"/>
      <c r="H203" s="122">
        <f t="shared" si="37"/>
        <v>184</v>
      </c>
      <c r="I203" s="123">
        <f t="shared" si="41"/>
        <v>0</v>
      </c>
      <c r="J203" s="58">
        <f t="shared" si="30"/>
        <v>0</v>
      </c>
      <c r="K203" s="51">
        <f t="shared" si="38"/>
        <v>0</v>
      </c>
      <c r="L203" s="51">
        <f t="shared" si="43"/>
        <v>0</v>
      </c>
      <c r="M203" s="58">
        <f t="shared" si="32"/>
        <v>0</v>
      </c>
      <c r="N203" s="58">
        <f t="shared" ca="1" si="33"/>
        <v>0</v>
      </c>
      <c r="O203" s="58">
        <f t="shared" si="34"/>
        <v>0</v>
      </c>
      <c r="P203" s="121">
        <f t="shared" si="42"/>
        <v>184</v>
      </c>
      <c r="Q203" s="124">
        <f t="shared" ca="1" si="39"/>
        <v>0</v>
      </c>
    </row>
    <row r="204" spans="3:18" x14ac:dyDescent="0.2">
      <c r="C204" s="69">
        <f t="shared" ca="1" si="35"/>
        <v>49310</v>
      </c>
      <c r="D204" s="70">
        <f t="shared" ca="1" si="36"/>
        <v>50</v>
      </c>
      <c r="E204" s="69">
        <f t="shared" ca="1" si="40"/>
        <v>49565</v>
      </c>
      <c r="F204" s="65" t="s">
        <v>220</v>
      </c>
      <c r="G204" s="65"/>
      <c r="H204" s="122">
        <f t="shared" si="37"/>
        <v>185</v>
      </c>
      <c r="I204" s="123">
        <f t="shared" si="41"/>
        <v>0</v>
      </c>
      <c r="J204" s="58">
        <f t="shared" si="30"/>
        <v>0</v>
      </c>
      <c r="K204" s="51">
        <f t="shared" si="38"/>
        <v>0</v>
      </c>
      <c r="L204" s="51">
        <f t="shared" si="43"/>
        <v>0</v>
      </c>
      <c r="M204" s="58">
        <f t="shared" si="32"/>
        <v>0</v>
      </c>
      <c r="N204" s="58">
        <f t="shared" ca="1" si="33"/>
        <v>0</v>
      </c>
      <c r="O204" s="58">
        <f t="shared" si="34"/>
        <v>0</v>
      </c>
      <c r="P204" s="121">
        <f t="shared" si="42"/>
        <v>185</v>
      </c>
      <c r="Q204" s="124">
        <f t="shared" ca="1" si="39"/>
        <v>0</v>
      </c>
    </row>
    <row r="205" spans="3:18" x14ac:dyDescent="0.2">
      <c r="C205" s="69">
        <f t="shared" ca="1" si="35"/>
        <v>49310</v>
      </c>
      <c r="D205" s="70">
        <f t="shared" ca="1" si="36"/>
        <v>50</v>
      </c>
      <c r="E205" s="69">
        <f t="shared" ca="1" si="40"/>
        <v>49595</v>
      </c>
      <c r="F205" s="65" t="s">
        <v>221</v>
      </c>
      <c r="G205" s="65"/>
      <c r="H205" s="122">
        <f t="shared" si="37"/>
        <v>186</v>
      </c>
      <c r="I205" s="123">
        <f t="shared" si="41"/>
        <v>0</v>
      </c>
      <c r="J205" s="58">
        <f t="shared" si="30"/>
        <v>0</v>
      </c>
      <c r="K205" s="51">
        <f t="shared" si="38"/>
        <v>0</v>
      </c>
      <c r="L205" s="51">
        <f t="shared" si="43"/>
        <v>0</v>
      </c>
      <c r="M205" s="58">
        <f t="shared" si="32"/>
        <v>0</v>
      </c>
      <c r="N205" s="58">
        <f t="shared" ca="1" si="33"/>
        <v>0</v>
      </c>
      <c r="O205" s="58">
        <f t="shared" si="34"/>
        <v>0</v>
      </c>
      <c r="P205" s="121">
        <f t="shared" si="42"/>
        <v>186</v>
      </c>
      <c r="Q205" s="124">
        <f t="shared" ca="1" si="39"/>
        <v>0</v>
      </c>
    </row>
    <row r="206" spans="3:18" x14ac:dyDescent="0.2">
      <c r="C206" s="69">
        <f t="shared" ca="1" si="35"/>
        <v>49310</v>
      </c>
      <c r="D206" s="70">
        <f t="shared" ca="1" si="36"/>
        <v>50</v>
      </c>
      <c r="E206" s="69">
        <f t="shared" ca="1" si="40"/>
        <v>49626</v>
      </c>
      <c r="F206" s="65" t="s">
        <v>222</v>
      </c>
      <c r="G206" s="65"/>
      <c r="H206" s="122">
        <f t="shared" si="37"/>
        <v>187</v>
      </c>
      <c r="I206" s="123">
        <f t="shared" si="41"/>
        <v>0</v>
      </c>
      <c r="J206" s="58">
        <f t="shared" si="30"/>
        <v>0</v>
      </c>
      <c r="K206" s="51">
        <f t="shared" si="38"/>
        <v>0</v>
      </c>
      <c r="L206" s="51">
        <f t="shared" si="43"/>
        <v>0</v>
      </c>
      <c r="M206" s="58">
        <f t="shared" si="32"/>
        <v>0</v>
      </c>
      <c r="N206" s="58">
        <f t="shared" ca="1" si="33"/>
        <v>0</v>
      </c>
      <c r="O206" s="58">
        <f t="shared" si="34"/>
        <v>0</v>
      </c>
      <c r="P206" s="121">
        <f t="shared" si="42"/>
        <v>187</v>
      </c>
      <c r="Q206" s="124">
        <f t="shared" ca="1" si="39"/>
        <v>0</v>
      </c>
    </row>
    <row r="207" spans="3:18" x14ac:dyDescent="0.2">
      <c r="C207" s="69">
        <f t="shared" ca="1" si="35"/>
        <v>49310</v>
      </c>
      <c r="D207" s="70">
        <f t="shared" ca="1" si="36"/>
        <v>50</v>
      </c>
      <c r="E207" s="69">
        <f t="shared" ca="1" si="40"/>
        <v>49656</v>
      </c>
      <c r="F207" s="65" t="s">
        <v>223</v>
      </c>
      <c r="G207" s="65"/>
      <c r="H207" s="122">
        <f t="shared" si="37"/>
        <v>188</v>
      </c>
      <c r="I207" s="123">
        <f t="shared" si="41"/>
        <v>0</v>
      </c>
      <c r="J207" s="58">
        <f t="shared" si="30"/>
        <v>0</v>
      </c>
      <c r="K207" s="51">
        <f t="shared" si="38"/>
        <v>0</v>
      </c>
      <c r="L207" s="51">
        <f t="shared" si="43"/>
        <v>0</v>
      </c>
      <c r="M207" s="58">
        <f t="shared" si="32"/>
        <v>0</v>
      </c>
      <c r="N207" s="58">
        <f t="shared" ca="1" si="33"/>
        <v>0</v>
      </c>
      <c r="O207" s="58">
        <f t="shared" si="34"/>
        <v>0</v>
      </c>
      <c r="P207" s="121">
        <f t="shared" si="42"/>
        <v>188</v>
      </c>
      <c r="Q207" s="124">
        <f t="shared" ca="1" si="39"/>
        <v>0</v>
      </c>
    </row>
    <row r="208" spans="3:18" x14ac:dyDescent="0.2">
      <c r="C208" s="69">
        <f t="shared" ca="1" si="35"/>
        <v>49675</v>
      </c>
      <c r="D208" s="70">
        <f t="shared" ca="1" si="36"/>
        <v>51</v>
      </c>
      <c r="E208" s="69">
        <f t="shared" ca="1" si="40"/>
        <v>49687</v>
      </c>
      <c r="F208" s="65" t="s">
        <v>224</v>
      </c>
      <c r="G208" s="65"/>
      <c r="H208" s="122">
        <f t="shared" si="37"/>
        <v>189</v>
      </c>
      <c r="I208" s="123">
        <f t="shared" si="41"/>
        <v>0</v>
      </c>
      <c r="J208" s="58">
        <f t="shared" si="30"/>
        <v>0</v>
      </c>
      <c r="K208" s="51">
        <f t="shared" si="38"/>
        <v>0</v>
      </c>
      <c r="L208" s="51">
        <f t="shared" si="43"/>
        <v>0</v>
      </c>
      <c r="M208" s="58">
        <f t="shared" si="32"/>
        <v>0</v>
      </c>
      <c r="N208" s="58">
        <f t="shared" ca="1" si="33"/>
        <v>0</v>
      </c>
      <c r="O208" s="58">
        <f t="shared" si="34"/>
        <v>0</v>
      </c>
      <c r="P208" s="121">
        <f t="shared" si="42"/>
        <v>189</v>
      </c>
      <c r="Q208" s="124">
        <f t="shared" ca="1" si="39"/>
        <v>0</v>
      </c>
    </row>
    <row r="209" spans="3:17" x14ac:dyDescent="0.2">
      <c r="C209" s="69">
        <f t="shared" ca="1" si="35"/>
        <v>49675</v>
      </c>
      <c r="D209" s="70">
        <f t="shared" ca="1" si="36"/>
        <v>51</v>
      </c>
      <c r="E209" s="69">
        <f t="shared" ca="1" si="40"/>
        <v>49718</v>
      </c>
      <c r="F209" s="65" t="s">
        <v>225</v>
      </c>
      <c r="G209" s="65"/>
      <c r="H209" s="122">
        <f t="shared" si="37"/>
        <v>190</v>
      </c>
      <c r="I209" s="123">
        <f t="shared" si="41"/>
        <v>0</v>
      </c>
      <c r="J209" s="58">
        <f t="shared" si="30"/>
        <v>0</v>
      </c>
      <c r="K209" s="51">
        <f t="shared" si="38"/>
        <v>0</v>
      </c>
      <c r="L209" s="51">
        <f t="shared" si="43"/>
        <v>0</v>
      </c>
      <c r="M209" s="58">
        <f t="shared" si="32"/>
        <v>0</v>
      </c>
      <c r="N209" s="58">
        <f t="shared" ca="1" si="33"/>
        <v>0</v>
      </c>
      <c r="O209" s="58">
        <f t="shared" si="34"/>
        <v>0</v>
      </c>
      <c r="P209" s="121">
        <f t="shared" si="42"/>
        <v>190</v>
      </c>
      <c r="Q209" s="124">
        <f t="shared" ca="1" si="39"/>
        <v>0</v>
      </c>
    </row>
    <row r="210" spans="3:17" x14ac:dyDescent="0.2">
      <c r="C210" s="69">
        <f t="shared" ca="1" si="35"/>
        <v>49675</v>
      </c>
      <c r="D210" s="70">
        <f t="shared" ca="1" si="36"/>
        <v>51</v>
      </c>
      <c r="E210" s="69">
        <f t="shared" ca="1" si="40"/>
        <v>49747</v>
      </c>
      <c r="F210" s="65" t="s">
        <v>226</v>
      </c>
      <c r="G210" s="65"/>
      <c r="H210" s="122">
        <f t="shared" si="37"/>
        <v>191</v>
      </c>
      <c r="I210" s="123">
        <f t="shared" si="41"/>
        <v>0</v>
      </c>
      <c r="J210" s="58">
        <f t="shared" si="30"/>
        <v>0</v>
      </c>
      <c r="K210" s="51">
        <f t="shared" si="38"/>
        <v>0</v>
      </c>
      <c r="L210" s="51">
        <f t="shared" si="43"/>
        <v>0</v>
      </c>
      <c r="M210" s="58">
        <f t="shared" si="32"/>
        <v>0</v>
      </c>
      <c r="N210" s="58">
        <f t="shared" ca="1" si="33"/>
        <v>0</v>
      </c>
      <c r="O210" s="58">
        <f t="shared" si="34"/>
        <v>0</v>
      </c>
      <c r="P210" s="121">
        <f t="shared" si="42"/>
        <v>191</v>
      </c>
      <c r="Q210" s="124">
        <f t="shared" ca="1" si="39"/>
        <v>0</v>
      </c>
    </row>
    <row r="211" spans="3:17" x14ac:dyDescent="0.2">
      <c r="C211" s="69">
        <f t="shared" ca="1" si="35"/>
        <v>49675</v>
      </c>
      <c r="D211" s="70">
        <f t="shared" ca="1" si="36"/>
        <v>51</v>
      </c>
      <c r="E211" s="69">
        <f t="shared" ca="1" si="40"/>
        <v>49778</v>
      </c>
      <c r="F211" s="65" t="s">
        <v>227</v>
      </c>
      <c r="G211" s="65"/>
      <c r="H211" s="122">
        <f t="shared" si="37"/>
        <v>192</v>
      </c>
      <c r="I211" s="123">
        <f t="shared" si="41"/>
        <v>0</v>
      </c>
      <c r="J211" s="58">
        <f t="shared" si="30"/>
        <v>0</v>
      </c>
      <c r="K211" s="51">
        <f t="shared" si="38"/>
        <v>0</v>
      </c>
      <c r="L211" s="51">
        <f t="shared" si="43"/>
        <v>0</v>
      </c>
      <c r="M211" s="58">
        <f t="shared" si="32"/>
        <v>0</v>
      </c>
      <c r="N211" s="58">
        <f t="shared" ca="1" si="33"/>
        <v>0</v>
      </c>
      <c r="O211" s="58">
        <f t="shared" si="34"/>
        <v>0</v>
      </c>
      <c r="P211" s="121">
        <f t="shared" si="42"/>
        <v>192</v>
      </c>
      <c r="Q211" s="124">
        <f t="shared" ca="1" si="39"/>
        <v>0</v>
      </c>
    </row>
    <row r="212" spans="3:17" x14ac:dyDescent="0.2">
      <c r="C212" s="69">
        <f t="shared" ca="1" si="35"/>
        <v>49675</v>
      </c>
      <c r="D212" s="70">
        <f t="shared" ca="1" si="36"/>
        <v>51</v>
      </c>
      <c r="E212" s="69">
        <f t="shared" ca="1" si="40"/>
        <v>49808</v>
      </c>
      <c r="F212" s="65" t="s">
        <v>228</v>
      </c>
      <c r="G212" s="65"/>
      <c r="H212" s="122">
        <f t="shared" si="37"/>
        <v>193</v>
      </c>
      <c r="I212" s="123">
        <f t="shared" si="41"/>
        <v>0</v>
      </c>
      <c r="J212" s="58">
        <f t="shared" ref="J212:J259" si="44">+IF(L211&gt;0,L211*$J$9,0)</f>
        <v>0</v>
      </c>
      <c r="K212" s="51">
        <f t="shared" si="38"/>
        <v>0</v>
      </c>
      <c r="L212" s="51">
        <f t="shared" si="43"/>
        <v>0</v>
      </c>
      <c r="M212" s="58">
        <f t="shared" ref="M212:M259" si="45">+-L211/1000000*$J$10</f>
        <v>0</v>
      </c>
      <c r="N212" s="58">
        <f t="shared" ref="N212:N259" ca="1" si="46">+-VLOOKUP(D212,$AB$17:$AF$90,3,0)*L211</f>
        <v>0</v>
      </c>
      <c r="O212" s="58">
        <f t="shared" ref="O212:O259" si="47">IF(L211&gt;0.1,-$J$13/1000000*$J$11,0)</f>
        <v>0</v>
      </c>
      <c r="P212" s="121">
        <f t="shared" si="42"/>
        <v>193</v>
      </c>
      <c r="Q212" s="124">
        <f t="shared" ca="1" si="39"/>
        <v>0</v>
      </c>
    </row>
    <row r="213" spans="3:17" x14ac:dyDescent="0.2">
      <c r="C213" s="69">
        <f t="shared" ref="C213:C259" ca="1" si="48">+VLOOKUP(E213,$A$19:$B$43,1,1)</f>
        <v>49675</v>
      </c>
      <c r="D213" s="70">
        <f t="shared" ref="D213:D259" ca="1" si="49">+VLOOKUP(C213,$A$19:$B$43,2,0)</f>
        <v>51</v>
      </c>
      <c r="E213" s="69">
        <f t="shared" ca="1" si="40"/>
        <v>49839</v>
      </c>
      <c r="F213" s="65" t="s">
        <v>229</v>
      </c>
      <c r="G213" s="65"/>
      <c r="H213" s="122">
        <f t="shared" ref="H213:H259" si="50">P213</f>
        <v>194</v>
      </c>
      <c r="I213" s="123">
        <f t="shared" si="41"/>
        <v>0</v>
      </c>
      <c r="J213" s="58">
        <f t="shared" si="44"/>
        <v>0</v>
      </c>
      <c r="K213" s="51">
        <f t="shared" ref="K213:K259" si="51">+IF(L212&gt;0,-I213-J213,0)</f>
        <v>0</v>
      </c>
      <c r="L213" s="51">
        <f t="shared" si="43"/>
        <v>0</v>
      </c>
      <c r="M213" s="58">
        <f t="shared" si="45"/>
        <v>0</v>
      </c>
      <c r="N213" s="58">
        <f t="shared" ca="1" si="46"/>
        <v>0</v>
      </c>
      <c r="O213" s="58">
        <f t="shared" si="47"/>
        <v>0</v>
      </c>
      <c r="P213" s="121">
        <f t="shared" si="42"/>
        <v>194</v>
      </c>
      <c r="Q213" s="124">
        <f t="shared" ref="Q213:Q259" ca="1" si="52">+I213+M213+N213+O213</f>
        <v>0</v>
      </c>
    </row>
    <row r="214" spans="3:17" x14ac:dyDescent="0.2">
      <c r="C214" s="69">
        <f t="shared" ca="1" si="48"/>
        <v>49675</v>
      </c>
      <c r="D214" s="70">
        <f t="shared" ca="1" si="49"/>
        <v>51</v>
      </c>
      <c r="E214" s="69">
        <f t="shared" ref="E214:E259" ca="1" si="53">+EDATE(E213,1)</f>
        <v>49869</v>
      </c>
      <c r="F214" s="65" t="s">
        <v>230</v>
      </c>
      <c r="G214" s="65"/>
      <c r="H214" s="122">
        <f t="shared" si="50"/>
        <v>195</v>
      </c>
      <c r="I214" s="123">
        <f t="shared" ref="I214:I259" si="54">+IF(L213&gt;0.1,IF(P214=$J$7,I213-$K$5,I213),0)</f>
        <v>0</v>
      </c>
      <c r="J214" s="58">
        <f t="shared" si="44"/>
        <v>0</v>
      </c>
      <c r="K214" s="51">
        <f t="shared" si="51"/>
        <v>0</v>
      </c>
      <c r="L214" s="51">
        <f t="shared" si="43"/>
        <v>0</v>
      </c>
      <c r="M214" s="58">
        <f t="shared" si="45"/>
        <v>0</v>
      </c>
      <c r="N214" s="58">
        <f t="shared" ca="1" si="46"/>
        <v>0</v>
      </c>
      <c r="O214" s="58">
        <f t="shared" si="47"/>
        <v>0</v>
      </c>
      <c r="P214" s="121">
        <f t="shared" ref="P214:P259" si="55">+P213+1</f>
        <v>195</v>
      </c>
      <c r="Q214" s="124">
        <f t="shared" ca="1" si="52"/>
        <v>0</v>
      </c>
    </row>
    <row r="215" spans="3:17" x14ac:dyDescent="0.2">
      <c r="C215" s="69">
        <f t="shared" ca="1" si="48"/>
        <v>49675</v>
      </c>
      <c r="D215" s="70">
        <f t="shared" ca="1" si="49"/>
        <v>51</v>
      </c>
      <c r="E215" s="69">
        <f t="shared" ca="1" si="53"/>
        <v>49900</v>
      </c>
      <c r="F215" s="65" t="s">
        <v>231</v>
      </c>
      <c r="G215" s="65"/>
      <c r="H215" s="122">
        <f t="shared" si="50"/>
        <v>196</v>
      </c>
      <c r="I215" s="123">
        <f t="shared" si="54"/>
        <v>0</v>
      </c>
      <c r="J215" s="58">
        <f t="shared" si="44"/>
        <v>0</v>
      </c>
      <c r="K215" s="51">
        <f t="shared" si="51"/>
        <v>0</v>
      </c>
      <c r="L215" s="51">
        <f t="shared" si="43"/>
        <v>0</v>
      </c>
      <c r="M215" s="58">
        <f t="shared" si="45"/>
        <v>0</v>
      </c>
      <c r="N215" s="58">
        <f t="shared" ca="1" si="46"/>
        <v>0</v>
      </c>
      <c r="O215" s="58">
        <f t="shared" si="47"/>
        <v>0</v>
      </c>
      <c r="P215" s="121">
        <f t="shared" si="55"/>
        <v>196</v>
      </c>
      <c r="Q215" s="124">
        <f t="shared" ca="1" si="52"/>
        <v>0</v>
      </c>
    </row>
    <row r="216" spans="3:17" x14ac:dyDescent="0.2">
      <c r="C216" s="69">
        <f t="shared" ca="1" si="48"/>
        <v>49675</v>
      </c>
      <c r="D216" s="70">
        <f t="shared" ca="1" si="49"/>
        <v>51</v>
      </c>
      <c r="E216" s="69">
        <f t="shared" ca="1" si="53"/>
        <v>49931</v>
      </c>
      <c r="F216" s="65" t="s">
        <v>232</v>
      </c>
      <c r="G216" s="65"/>
      <c r="H216" s="122">
        <f t="shared" si="50"/>
        <v>197</v>
      </c>
      <c r="I216" s="123">
        <f t="shared" si="54"/>
        <v>0</v>
      </c>
      <c r="J216" s="58">
        <f t="shared" si="44"/>
        <v>0</v>
      </c>
      <c r="K216" s="51">
        <f t="shared" si="51"/>
        <v>0</v>
      </c>
      <c r="L216" s="51">
        <f t="shared" si="43"/>
        <v>0</v>
      </c>
      <c r="M216" s="58">
        <f t="shared" si="45"/>
        <v>0</v>
      </c>
      <c r="N216" s="58">
        <f t="shared" ca="1" si="46"/>
        <v>0</v>
      </c>
      <c r="O216" s="58">
        <f t="shared" si="47"/>
        <v>0</v>
      </c>
      <c r="P216" s="121">
        <f t="shared" si="55"/>
        <v>197</v>
      </c>
      <c r="Q216" s="124">
        <f t="shared" ca="1" si="52"/>
        <v>0</v>
      </c>
    </row>
    <row r="217" spans="3:17" x14ac:dyDescent="0.2">
      <c r="C217" s="69">
        <f t="shared" ca="1" si="48"/>
        <v>49675</v>
      </c>
      <c r="D217" s="70">
        <f t="shared" ca="1" si="49"/>
        <v>51</v>
      </c>
      <c r="E217" s="69">
        <f t="shared" ca="1" si="53"/>
        <v>49961</v>
      </c>
      <c r="F217" s="65" t="s">
        <v>233</v>
      </c>
      <c r="G217" s="65"/>
      <c r="H217" s="122">
        <f t="shared" si="50"/>
        <v>198</v>
      </c>
      <c r="I217" s="123">
        <f t="shared" si="54"/>
        <v>0</v>
      </c>
      <c r="J217" s="58">
        <f t="shared" si="44"/>
        <v>0</v>
      </c>
      <c r="K217" s="51">
        <f t="shared" si="51"/>
        <v>0</v>
      </c>
      <c r="L217" s="51">
        <f t="shared" si="43"/>
        <v>0</v>
      </c>
      <c r="M217" s="58">
        <f t="shared" si="45"/>
        <v>0</v>
      </c>
      <c r="N217" s="58">
        <f t="shared" ca="1" si="46"/>
        <v>0</v>
      </c>
      <c r="O217" s="58">
        <f t="shared" si="47"/>
        <v>0</v>
      </c>
      <c r="P217" s="121">
        <f t="shared" si="55"/>
        <v>198</v>
      </c>
      <c r="Q217" s="124">
        <f t="shared" ca="1" si="52"/>
        <v>0</v>
      </c>
    </row>
    <row r="218" spans="3:17" x14ac:dyDescent="0.2">
      <c r="C218" s="69">
        <f t="shared" ca="1" si="48"/>
        <v>49675</v>
      </c>
      <c r="D218" s="70">
        <f t="shared" ca="1" si="49"/>
        <v>51</v>
      </c>
      <c r="E218" s="69">
        <f t="shared" ca="1" si="53"/>
        <v>49992</v>
      </c>
      <c r="F218" s="65" t="s">
        <v>234</v>
      </c>
      <c r="G218" s="65"/>
      <c r="H218" s="122">
        <f t="shared" si="50"/>
        <v>199</v>
      </c>
      <c r="I218" s="123">
        <f t="shared" si="54"/>
        <v>0</v>
      </c>
      <c r="J218" s="58">
        <f t="shared" si="44"/>
        <v>0</v>
      </c>
      <c r="K218" s="51">
        <f t="shared" si="51"/>
        <v>0</v>
      </c>
      <c r="L218" s="51">
        <f t="shared" si="43"/>
        <v>0</v>
      </c>
      <c r="M218" s="58">
        <f t="shared" si="45"/>
        <v>0</v>
      </c>
      <c r="N218" s="58">
        <f t="shared" ca="1" si="46"/>
        <v>0</v>
      </c>
      <c r="O218" s="58">
        <f t="shared" si="47"/>
        <v>0</v>
      </c>
      <c r="P218" s="121">
        <f t="shared" si="55"/>
        <v>199</v>
      </c>
      <c r="Q218" s="124">
        <f t="shared" ca="1" si="52"/>
        <v>0</v>
      </c>
    </row>
    <row r="219" spans="3:17" x14ac:dyDescent="0.2">
      <c r="C219" s="69">
        <f t="shared" ca="1" si="48"/>
        <v>49675</v>
      </c>
      <c r="D219" s="70">
        <f t="shared" ca="1" si="49"/>
        <v>51</v>
      </c>
      <c r="E219" s="69">
        <f t="shared" ca="1" si="53"/>
        <v>50022</v>
      </c>
      <c r="F219" s="65" t="s">
        <v>235</v>
      </c>
      <c r="G219" s="65"/>
      <c r="H219" s="122">
        <f t="shared" si="50"/>
        <v>200</v>
      </c>
      <c r="I219" s="123">
        <f t="shared" si="54"/>
        <v>0</v>
      </c>
      <c r="J219" s="58">
        <f t="shared" si="44"/>
        <v>0</v>
      </c>
      <c r="K219" s="51">
        <f t="shared" si="51"/>
        <v>0</v>
      </c>
      <c r="L219" s="51">
        <f t="shared" si="43"/>
        <v>0</v>
      </c>
      <c r="M219" s="58">
        <f t="shared" si="45"/>
        <v>0</v>
      </c>
      <c r="N219" s="58">
        <f t="shared" ca="1" si="46"/>
        <v>0</v>
      </c>
      <c r="O219" s="58">
        <f t="shared" si="47"/>
        <v>0</v>
      </c>
      <c r="P219" s="121">
        <f t="shared" si="55"/>
        <v>200</v>
      </c>
      <c r="Q219" s="124">
        <f t="shared" ca="1" si="52"/>
        <v>0</v>
      </c>
    </row>
    <row r="220" spans="3:17" x14ac:dyDescent="0.2">
      <c r="C220" s="69">
        <f t="shared" ca="1" si="48"/>
        <v>50041</v>
      </c>
      <c r="D220" s="70">
        <f t="shared" ca="1" si="49"/>
        <v>52</v>
      </c>
      <c r="E220" s="69">
        <f t="shared" ca="1" si="53"/>
        <v>50053</v>
      </c>
      <c r="F220" s="65" t="s">
        <v>236</v>
      </c>
      <c r="G220" s="65"/>
      <c r="H220" s="122">
        <f t="shared" si="50"/>
        <v>201</v>
      </c>
      <c r="I220" s="123">
        <f t="shared" si="54"/>
        <v>0</v>
      </c>
      <c r="J220" s="58">
        <f t="shared" si="44"/>
        <v>0</v>
      </c>
      <c r="K220" s="51">
        <f t="shared" si="51"/>
        <v>0</v>
      </c>
      <c r="L220" s="51">
        <f t="shared" si="43"/>
        <v>0</v>
      </c>
      <c r="M220" s="58">
        <f t="shared" si="45"/>
        <v>0</v>
      </c>
      <c r="N220" s="58">
        <f t="shared" ca="1" si="46"/>
        <v>0</v>
      </c>
      <c r="O220" s="58">
        <f t="shared" si="47"/>
        <v>0</v>
      </c>
      <c r="P220" s="121">
        <f t="shared" si="55"/>
        <v>201</v>
      </c>
      <c r="Q220" s="124">
        <f t="shared" ca="1" si="52"/>
        <v>0</v>
      </c>
    </row>
    <row r="221" spans="3:17" x14ac:dyDescent="0.2">
      <c r="C221" s="69">
        <f t="shared" ca="1" si="48"/>
        <v>50041</v>
      </c>
      <c r="D221" s="70">
        <f t="shared" ca="1" si="49"/>
        <v>52</v>
      </c>
      <c r="E221" s="69">
        <f t="shared" ca="1" si="53"/>
        <v>50084</v>
      </c>
      <c r="F221" s="65" t="s">
        <v>237</v>
      </c>
      <c r="G221" s="65"/>
      <c r="H221" s="122">
        <f t="shared" si="50"/>
        <v>202</v>
      </c>
      <c r="I221" s="123">
        <f t="shared" si="54"/>
        <v>0</v>
      </c>
      <c r="J221" s="58">
        <f t="shared" si="44"/>
        <v>0</v>
      </c>
      <c r="K221" s="51">
        <f t="shared" si="51"/>
        <v>0</v>
      </c>
      <c r="L221" s="51">
        <f t="shared" si="43"/>
        <v>0</v>
      </c>
      <c r="M221" s="58">
        <f t="shared" si="45"/>
        <v>0</v>
      </c>
      <c r="N221" s="58">
        <f t="shared" ca="1" si="46"/>
        <v>0</v>
      </c>
      <c r="O221" s="58">
        <f t="shared" si="47"/>
        <v>0</v>
      </c>
      <c r="P221" s="121">
        <f t="shared" si="55"/>
        <v>202</v>
      </c>
      <c r="Q221" s="124">
        <f t="shared" ca="1" si="52"/>
        <v>0</v>
      </c>
    </row>
    <row r="222" spans="3:17" x14ac:dyDescent="0.2">
      <c r="C222" s="69">
        <f t="shared" ca="1" si="48"/>
        <v>50041</v>
      </c>
      <c r="D222" s="70">
        <f t="shared" ca="1" si="49"/>
        <v>52</v>
      </c>
      <c r="E222" s="69">
        <f t="shared" ca="1" si="53"/>
        <v>50112</v>
      </c>
      <c r="F222" s="65" t="s">
        <v>238</v>
      </c>
      <c r="G222" s="65"/>
      <c r="H222" s="122">
        <f t="shared" si="50"/>
        <v>203</v>
      </c>
      <c r="I222" s="123">
        <f t="shared" si="54"/>
        <v>0</v>
      </c>
      <c r="J222" s="58">
        <f t="shared" si="44"/>
        <v>0</v>
      </c>
      <c r="K222" s="51">
        <f t="shared" si="51"/>
        <v>0</v>
      </c>
      <c r="L222" s="51">
        <f t="shared" si="43"/>
        <v>0</v>
      </c>
      <c r="M222" s="58">
        <f t="shared" si="45"/>
        <v>0</v>
      </c>
      <c r="N222" s="58">
        <f t="shared" ca="1" si="46"/>
        <v>0</v>
      </c>
      <c r="O222" s="58">
        <f t="shared" si="47"/>
        <v>0</v>
      </c>
      <c r="P222" s="121">
        <f t="shared" si="55"/>
        <v>203</v>
      </c>
      <c r="Q222" s="124">
        <f t="shared" ca="1" si="52"/>
        <v>0</v>
      </c>
    </row>
    <row r="223" spans="3:17" x14ac:dyDescent="0.2">
      <c r="C223" s="69">
        <f t="shared" ca="1" si="48"/>
        <v>50041</v>
      </c>
      <c r="D223" s="70">
        <f t="shared" ca="1" si="49"/>
        <v>52</v>
      </c>
      <c r="E223" s="69">
        <f t="shared" ca="1" si="53"/>
        <v>50143</v>
      </c>
      <c r="F223" s="65" t="s">
        <v>239</v>
      </c>
      <c r="G223" s="65"/>
      <c r="H223" s="122">
        <f t="shared" si="50"/>
        <v>204</v>
      </c>
      <c r="I223" s="123">
        <f t="shared" si="54"/>
        <v>0</v>
      </c>
      <c r="J223" s="58">
        <f t="shared" si="44"/>
        <v>0</v>
      </c>
      <c r="K223" s="51">
        <f t="shared" si="51"/>
        <v>0</v>
      </c>
      <c r="L223" s="51">
        <f t="shared" si="43"/>
        <v>0</v>
      </c>
      <c r="M223" s="58">
        <f t="shared" si="45"/>
        <v>0</v>
      </c>
      <c r="N223" s="58">
        <f t="shared" ca="1" si="46"/>
        <v>0</v>
      </c>
      <c r="O223" s="58">
        <f t="shared" si="47"/>
        <v>0</v>
      </c>
      <c r="P223" s="121">
        <f t="shared" si="55"/>
        <v>204</v>
      </c>
      <c r="Q223" s="124">
        <f t="shared" ca="1" si="52"/>
        <v>0</v>
      </c>
    </row>
    <row r="224" spans="3:17" x14ac:dyDescent="0.2">
      <c r="C224" s="69">
        <f t="shared" ca="1" si="48"/>
        <v>50041</v>
      </c>
      <c r="D224" s="70">
        <f t="shared" ca="1" si="49"/>
        <v>52</v>
      </c>
      <c r="E224" s="69">
        <f t="shared" ca="1" si="53"/>
        <v>50173</v>
      </c>
      <c r="F224" s="65" t="s">
        <v>240</v>
      </c>
      <c r="G224" s="65"/>
      <c r="H224" s="122">
        <f t="shared" si="50"/>
        <v>205</v>
      </c>
      <c r="I224" s="123">
        <f t="shared" si="54"/>
        <v>0</v>
      </c>
      <c r="J224" s="58">
        <f t="shared" si="44"/>
        <v>0</v>
      </c>
      <c r="K224" s="51">
        <f t="shared" si="51"/>
        <v>0</v>
      </c>
      <c r="L224" s="51">
        <f t="shared" si="43"/>
        <v>0</v>
      </c>
      <c r="M224" s="58">
        <f t="shared" si="45"/>
        <v>0</v>
      </c>
      <c r="N224" s="58">
        <f t="shared" ca="1" si="46"/>
        <v>0</v>
      </c>
      <c r="O224" s="58">
        <f t="shared" si="47"/>
        <v>0</v>
      </c>
      <c r="P224" s="121">
        <f t="shared" si="55"/>
        <v>205</v>
      </c>
      <c r="Q224" s="124">
        <f t="shared" ca="1" si="52"/>
        <v>0</v>
      </c>
    </row>
    <row r="225" spans="3:17" x14ac:dyDescent="0.2">
      <c r="C225" s="69">
        <f t="shared" ca="1" si="48"/>
        <v>50041</v>
      </c>
      <c r="D225" s="70">
        <f t="shared" ca="1" si="49"/>
        <v>52</v>
      </c>
      <c r="E225" s="69">
        <f t="shared" ca="1" si="53"/>
        <v>50204</v>
      </c>
      <c r="F225" s="65" t="s">
        <v>241</v>
      </c>
      <c r="G225" s="65"/>
      <c r="H225" s="122">
        <f t="shared" si="50"/>
        <v>206</v>
      </c>
      <c r="I225" s="123">
        <f t="shared" si="54"/>
        <v>0</v>
      </c>
      <c r="J225" s="58">
        <f t="shared" si="44"/>
        <v>0</v>
      </c>
      <c r="K225" s="51">
        <f t="shared" si="51"/>
        <v>0</v>
      </c>
      <c r="L225" s="51">
        <f t="shared" si="43"/>
        <v>0</v>
      </c>
      <c r="M225" s="58">
        <f t="shared" si="45"/>
        <v>0</v>
      </c>
      <c r="N225" s="58">
        <f t="shared" ca="1" si="46"/>
        <v>0</v>
      </c>
      <c r="O225" s="58">
        <f t="shared" si="47"/>
        <v>0</v>
      </c>
      <c r="P225" s="121">
        <f t="shared" si="55"/>
        <v>206</v>
      </c>
      <c r="Q225" s="124">
        <f t="shared" ca="1" si="52"/>
        <v>0</v>
      </c>
    </row>
    <row r="226" spans="3:17" x14ac:dyDescent="0.2">
      <c r="C226" s="69">
        <f t="shared" ca="1" si="48"/>
        <v>50041</v>
      </c>
      <c r="D226" s="70">
        <f t="shared" ca="1" si="49"/>
        <v>52</v>
      </c>
      <c r="E226" s="69">
        <f t="shared" ca="1" si="53"/>
        <v>50234</v>
      </c>
      <c r="F226" s="65" t="s">
        <v>242</v>
      </c>
      <c r="G226" s="65"/>
      <c r="H226" s="122">
        <f t="shared" si="50"/>
        <v>207</v>
      </c>
      <c r="I226" s="123">
        <f t="shared" si="54"/>
        <v>0</v>
      </c>
      <c r="J226" s="58">
        <f t="shared" si="44"/>
        <v>0</v>
      </c>
      <c r="K226" s="51">
        <f t="shared" si="51"/>
        <v>0</v>
      </c>
      <c r="L226" s="51">
        <f t="shared" si="43"/>
        <v>0</v>
      </c>
      <c r="M226" s="58">
        <f t="shared" si="45"/>
        <v>0</v>
      </c>
      <c r="N226" s="58">
        <f t="shared" ca="1" si="46"/>
        <v>0</v>
      </c>
      <c r="O226" s="58">
        <f t="shared" si="47"/>
        <v>0</v>
      </c>
      <c r="P226" s="121">
        <f t="shared" si="55"/>
        <v>207</v>
      </c>
      <c r="Q226" s="124">
        <f t="shared" ca="1" si="52"/>
        <v>0</v>
      </c>
    </row>
    <row r="227" spans="3:17" x14ac:dyDescent="0.2">
      <c r="C227" s="69">
        <f t="shared" ca="1" si="48"/>
        <v>50041</v>
      </c>
      <c r="D227" s="70">
        <f t="shared" ca="1" si="49"/>
        <v>52</v>
      </c>
      <c r="E227" s="69">
        <f t="shared" ca="1" si="53"/>
        <v>50265</v>
      </c>
      <c r="F227" s="65" t="s">
        <v>243</v>
      </c>
      <c r="G227" s="65"/>
      <c r="H227" s="122">
        <f t="shared" si="50"/>
        <v>208</v>
      </c>
      <c r="I227" s="123">
        <f t="shared" si="54"/>
        <v>0</v>
      </c>
      <c r="J227" s="58">
        <f t="shared" si="44"/>
        <v>0</v>
      </c>
      <c r="K227" s="51">
        <f t="shared" si="51"/>
        <v>0</v>
      </c>
      <c r="L227" s="51">
        <f t="shared" si="43"/>
        <v>0</v>
      </c>
      <c r="M227" s="58">
        <f t="shared" si="45"/>
        <v>0</v>
      </c>
      <c r="N227" s="58">
        <f t="shared" ca="1" si="46"/>
        <v>0</v>
      </c>
      <c r="O227" s="58">
        <f t="shared" si="47"/>
        <v>0</v>
      </c>
      <c r="P227" s="121">
        <f t="shared" si="55"/>
        <v>208</v>
      </c>
      <c r="Q227" s="124">
        <f t="shared" ca="1" si="52"/>
        <v>0</v>
      </c>
    </row>
    <row r="228" spans="3:17" x14ac:dyDescent="0.2">
      <c r="C228" s="69">
        <f t="shared" ca="1" si="48"/>
        <v>50041</v>
      </c>
      <c r="D228" s="70">
        <f t="shared" ca="1" si="49"/>
        <v>52</v>
      </c>
      <c r="E228" s="69">
        <f t="shared" ca="1" si="53"/>
        <v>50296</v>
      </c>
      <c r="F228" s="65" t="s">
        <v>244</v>
      </c>
      <c r="G228" s="65"/>
      <c r="H228" s="122">
        <f t="shared" si="50"/>
        <v>209</v>
      </c>
      <c r="I228" s="123">
        <f t="shared" si="54"/>
        <v>0</v>
      </c>
      <c r="J228" s="58">
        <f t="shared" si="44"/>
        <v>0</v>
      </c>
      <c r="K228" s="51">
        <f t="shared" si="51"/>
        <v>0</v>
      </c>
      <c r="L228" s="51">
        <f t="shared" si="43"/>
        <v>0</v>
      </c>
      <c r="M228" s="58">
        <f t="shared" si="45"/>
        <v>0</v>
      </c>
      <c r="N228" s="58">
        <f t="shared" ca="1" si="46"/>
        <v>0</v>
      </c>
      <c r="O228" s="58">
        <f t="shared" si="47"/>
        <v>0</v>
      </c>
      <c r="P228" s="121">
        <f t="shared" si="55"/>
        <v>209</v>
      </c>
      <c r="Q228" s="124">
        <f t="shared" ca="1" si="52"/>
        <v>0</v>
      </c>
    </row>
    <row r="229" spans="3:17" x14ac:dyDescent="0.2">
      <c r="C229" s="69">
        <f t="shared" ca="1" si="48"/>
        <v>50041</v>
      </c>
      <c r="D229" s="70">
        <f t="shared" ca="1" si="49"/>
        <v>52</v>
      </c>
      <c r="E229" s="69">
        <f t="shared" ca="1" si="53"/>
        <v>50326</v>
      </c>
      <c r="F229" s="65" t="s">
        <v>245</v>
      </c>
      <c r="G229" s="65"/>
      <c r="H229" s="122">
        <f t="shared" si="50"/>
        <v>210</v>
      </c>
      <c r="I229" s="123">
        <f t="shared" si="54"/>
        <v>0</v>
      </c>
      <c r="J229" s="58">
        <f t="shared" si="44"/>
        <v>0</v>
      </c>
      <c r="K229" s="51">
        <f t="shared" si="51"/>
        <v>0</v>
      </c>
      <c r="L229" s="51">
        <f t="shared" si="43"/>
        <v>0</v>
      </c>
      <c r="M229" s="58">
        <f t="shared" si="45"/>
        <v>0</v>
      </c>
      <c r="N229" s="58">
        <f t="shared" ca="1" si="46"/>
        <v>0</v>
      </c>
      <c r="O229" s="58">
        <f t="shared" si="47"/>
        <v>0</v>
      </c>
      <c r="P229" s="121">
        <f t="shared" si="55"/>
        <v>210</v>
      </c>
      <c r="Q229" s="124">
        <f t="shared" ca="1" si="52"/>
        <v>0</v>
      </c>
    </row>
    <row r="230" spans="3:17" x14ac:dyDescent="0.2">
      <c r="C230" s="69">
        <f t="shared" ca="1" si="48"/>
        <v>50041</v>
      </c>
      <c r="D230" s="70">
        <f t="shared" ca="1" si="49"/>
        <v>52</v>
      </c>
      <c r="E230" s="69">
        <f t="shared" ca="1" si="53"/>
        <v>50357</v>
      </c>
      <c r="F230" s="65" t="s">
        <v>246</v>
      </c>
      <c r="G230" s="65"/>
      <c r="H230" s="122">
        <f t="shared" si="50"/>
        <v>211</v>
      </c>
      <c r="I230" s="123">
        <f t="shared" si="54"/>
        <v>0</v>
      </c>
      <c r="J230" s="58">
        <f t="shared" si="44"/>
        <v>0</v>
      </c>
      <c r="K230" s="51">
        <f t="shared" si="51"/>
        <v>0</v>
      </c>
      <c r="L230" s="51">
        <f t="shared" si="43"/>
        <v>0</v>
      </c>
      <c r="M230" s="58">
        <f t="shared" si="45"/>
        <v>0</v>
      </c>
      <c r="N230" s="58">
        <f t="shared" ca="1" si="46"/>
        <v>0</v>
      </c>
      <c r="O230" s="58">
        <f t="shared" si="47"/>
        <v>0</v>
      </c>
      <c r="P230" s="121">
        <f t="shared" si="55"/>
        <v>211</v>
      </c>
      <c r="Q230" s="124">
        <f t="shared" ca="1" si="52"/>
        <v>0</v>
      </c>
    </row>
    <row r="231" spans="3:17" x14ac:dyDescent="0.2">
      <c r="C231" s="69">
        <f t="shared" ca="1" si="48"/>
        <v>50041</v>
      </c>
      <c r="D231" s="70">
        <f t="shared" ca="1" si="49"/>
        <v>52</v>
      </c>
      <c r="E231" s="69">
        <f t="shared" ca="1" si="53"/>
        <v>50387</v>
      </c>
      <c r="F231" s="65" t="s">
        <v>247</v>
      </c>
      <c r="G231" s="65"/>
      <c r="H231" s="122">
        <f t="shared" si="50"/>
        <v>212</v>
      </c>
      <c r="I231" s="123">
        <f t="shared" si="54"/>
        <v>0</v>
      </c>
      <c r="J231" s="58">
        <f t="shared" si="44"/>
        <v>0</v>
      </c>
      <c r="K231" s="51">
        <f t="shared" si="51"/>
        <v>0</v>
      </c>
      <c r="L231" s="51">
        <f t="shared" si="43"/>
        <v>0</v>
      </c>
      <c r="M231" s="58">
        <f t="shared" si="45"/>
        <v>0</v>
      </c>
      <c r="N231" s="58">
        <f t="shared" ca="1" si="46"/>
        <v>0</v>
      </c>
      <c r="O231" s="58">
        <f t="shared" si="47"/>
        <v>0</v>
      </c>
      <c r="P231" s="121">
        <f t="shared" si="55"/>
        <v>212</v>
      </c>
      <c r="Q231" s="124">
        <f t="shared" ca="1" si="52"/>
        <v>0</v>
      </c>
    </row>
    <row r="232" spans="3:17" x14ac:dyDescent="0.2">
      <c r="C232" s="69">
        <f t="shared" ca="1" si="48"/>
        <v>50406</v>
      </c>
      <c r="D232" s="70">
        <f t="shared" ca="1" si="49"/>
        <v>53</v>
      </c>
      <c r="E232" s="69">
        <f t="shared" ca="1" si="53"/>
        <v>50418</v>
      </c>
      <c r="F232" s="65" t="s">
        <v>248</v>
      </c>
      <c r="G232" s="65"/>
      <c r="H232" s="122">
        <f t="shared" si="50"/>
        <v>213</v>
      </c>
      <c r="I232" s="123">
        <f t="shared" si="54"/>
        <v>0</v>
      </c>
      <c r="J232" s="58">
        <f t="shared" si="44"/>
        <v>0</v>
      </c>
      <c r="K232" s="51">
        <f t="shared" si="51"/>
        <v>0</v>
      </c>
      <c r="L232" s="51">
        <f t="shared" si="43"/>
        <v>0</v>
      </c>
      <c r="M232" s="58">
        <f t="shared" si="45"/>
        <v>0</v>
      </c>
      <c r="N232" s="58">
        <f t="shared" ca="1" si="46"/>
        <v>0</v>
      </c>
      <c r="O232" s="58">
        <f t="shared" si="47"/>
        <v>0</v>
      </c>
      <c r="P232" s="121">
        <f t="shared" si="55"/>
        <v>213</v>
      </c>
      <c r="Q232" s="124">
        <f t="shared" ca="1" si="52"/>
        <v>0</v>
      </c>
    </row>
    <row r="233" spans="3:17" x14ac:dyDescent="0.2">
      <c r="C233" s="69">
        <f t="shared" ca="1" si="48"/>
        <v>50406</v>
      </c>
      <c r="D233" s="70">
        <f t="shared" ca="1" si="49"/>
        <v>53</v>
      </c>
      <c r="E233" s="69">
        <f t="shared" ca="1" si="53"/>
        <v>50449</v>
      </c>
      <c r="F233" s="65" t="s">
        <v>249</v>
      </c>
      <c r="G233" s="65"/>
      <c r="H233" s="122">
        <f t="shared" si="50"/>
        <v>214</v>
      </c>
      <c r="I233" s="123">
        <f t="shared" si="54"/>
        <v>0</v>
      </c>
      <c r="J233" s="58">
        <f t="shared" si="44"/>
        <v>0</v>
      </c>
      <c r="K233" s="51">
        <f t="shared" si="51"/>
        <v>0</v>
      </c>
      <c r="L233" s="51">
        <f t="shared" si="43"/>
        <v>0</v>
      </c>
      <c r="M233" s="58">
        <f t="shared" si="45"/>
        <v>0</v>
      </c>
      <c r="N233" s="58">
        <f t="shared" ca="1" si="46"/>
        <v>0</v>
      </c>
      <c r="O233" s="58">
        <f t="shared" si="47"/>
        <v>0</v>
      </c>
      <c r="P233" s="121">
        <f t="shared" si="55"/>
        <v>214</v>
      </c>
      <c r="Q233" s="124">
        <f t="shared" ca="1" si="52"/>
        <v>0</v>
      </c>
    </row>
    <row r="234" spans="3:17" x14ac:dyDescent="0.2">
      <c r="C234" s="69">
        <f t="shared" ca="1" si="48"/>
        <v>50406</v>
      </c>
      <c r="D234" s="70">
        <f t="shared" ca="1" si="49"/>
        <v>53</v>
      </c>
      <c r="E234" s="69">
        <f t="shared" ca="1" si="53"/>
        <v>50477</v>
      </c>
      <c r="F234" s="65" t="s">
        <v>250</v>
      </c>
      <c r="G234" s="65"/>
      <c r="H234" s="122">
        <f t="shared" si="50"/>
        <v>215</v>
      </c>
      <c r="I234" s="123">
        <f t="shared" si="54"/>
        <v>0</v>
      </c>
      <c r="J234" s="58">
        <f t="shared" si="44"/>
        <v>0</v>
      </c>
      <c r="K234" s="51">
        <f t="shared" si="51"/>
        <v>0</v>
      </c>
      <c r="L234" s="51">
        <f t="shared" si="43"/>
        <v>0</v>
      </c>
      <c r="M234" s="58">
        <f t="shared" si="45"/>
        <v>0</v>
      </c>
      <c r="N234" s="58">
        <f t="shared" ca="1" si="46"/>
        <v>0</v>
      </c>
      <c r="O234" s="58">
        <f t="shared" si="47"/>
        <v>0</v>
      </c>
      <c r="P234" s="121">
        <f t="shared" si="55"/>
        <v>215</v>
      </c>
      <c r="Q234" s="124">
        <f t="shared" ca="1" si="52"/>
        <v>0</v>
      </c>
    </row>
    <row r="235" spans="3:17" x14ac:dyDescent="0.2">
      <c r="C235" s="69">
        <f t="shared" ca="1" si="48"/>
        <v>50406</v>
      </c>
      <c r="D235" s="70">
        <f t="shared" ca="1" si="49"/>
        <v>53</v>
      </c>
      <c r="E235" s="69">
        <f t="shared" ca="1" si="53"/>
        <v>50508</v>
      </c>
      <c r="F235" s="65" t="s">
        <v>251</v>
      </c>
      <c r="G235" s="65"/>
      <c r="H235" s="122">
        <f t="shared" si="50"/>
        <v>216</v>
      </c>
      <c r="I235" s="123">
        <f t="shared" si="54"/>
        <v>0</v>
      </c>
      <c r="J235" s="58">
        <f t="shared" si="44"/>
        <v>0</v>
      </c>
      <c r="K235" s="51">
        <f t="shared" si="51"/>
        <v>0</v>
      </c>
      <c r="L235" s="51">
        <f t="shared" si="43"/>
        <v>0</v>
      </c>
      <c r="M235" s="58">
        <f t="shared" si="45"/>
        <v>0</v>
      </c>
      <c r="N235" s="58">
        <f t="shared" ca="1" si="46"/>
        <v>0</v>
      </c>
      <c r="O235" s="58">
        <f t="shared" si="47"/>
        <v>0</v>
      </c>
      <c r="P235" s="121">
        <f t="shared" si="55"/>
        <v>216</v>
      </c>
      <c r="Q235" s="124">
        <f t="shared" ca="1" si="52"/>
        <v>0</v>
      </c>
    </row>
    <row r="236" spans="3:17" x14ac:dyDescent="0.2">
      <c r="C236" s="69">
        <f t="shared" ca="1" si="48"/>
        <v>50406</v>
      </c>
      <c r="D236" s="70">
        <f t="shared" ca="1" si="49"/>
        <v>53</v>
      </c>
      <c r="E236" s="69">
        <f t="shared" ca="1" si="53"/>
        <v>50538</v>
      </c>
      <c r="F236" s="65" t="s">
        <v>252</v>
      </c>
      <c r="G236" s="65"/>
      <c r="H236" s="122">
        <f t="shared" si="50"/>
        <v>217</v>
      </c>
      <c r="I236" s="123">
        <f t="shared" si="54"/>
        <v>0</v>
      </c>
      <c r="J236" s="58">
        <f t="shared" si="44"/>
        <v>0</v>
      </c>
      <c r="K236" s="51">
        <f t="shared" si="51"/>
        <v>0</v>
      </c>
      <c r="L236" s="51">
        <f t="shared" si="43"/>
        <v>0</v>
      </c>
      <c r="M236" s="58">
        <f t="shared" si="45"/>
        <v>0</v>
      </c>
      <c r="N236" s="58">
        <f t="shared" ca="1" si="46"/>
        <v>0</v>
      </c>
      <c r="O236" s="58">
        <f t="shared" si="47"/>
        <v>0</v>
      </c>
      <c r="P236" s="121">
        <f t="shared" si="55"/>
        <v>217</v>
      </c>
      <c r="Q236" s="124">
        <f t="shared" ca="1" si="52"/>
        <v>0</v>
      </c>
    </row>
    <row r="237" spans="3:17" x14ac:dyDescent="0.2">
      <c r="C237" s="69">
        <f t="shared" ca="1" si="48"/>
        <v>50406</v>
      </c>
      <c r="D237" s="70">
        <f t="shared" ca="1" si="49"/>
        <v>53</v>
      </c>
      <c r="E237" s="69">
        <f t="shared" ca="1" si="53"/>
        <v>50569</v>
      </c>
      <c r="F237" s="65" t="s">
        <v>253</v>
      </c>
      <c r="G237" s="65"/>
      <c r="H237" s="122">
        <f t="shared" si="50"/>
        <v>218</v>
      </c>
      <c r="I237" s="123">
        <f t="shared" si="54"/>
        <v>0</v>
      </c>
      <c r="J237" s="58">
        <f t="shared" si="44"/>
        <v>0</v>
      </c>
      <c r="K237" s="51">
        <f t="shared" si="51"/>
        <v>0</v>
      </c>
      <c r="L237" s="51">
        <f t="shared" si="43"/>
        <v>0</v>
      </c>
      <c r="M237" s="58">
        <f t="shared" si="45"/>
        <v>0</v>
      </c>
      <c r="N237" s="58">
        <f t="shared" ca="1" si="46"/>
        <v>0</v>
      </c>
      <c r="O237" s="58">
        <f t="shared" si="47"/>
        <v>0</v>
      </c>
      <c r="P237" s="121">
        <f t="shared" si="55"/>
        <v>218</v>
      </c>
      <c r="Q237" s="124">
        <f t="shared" ca="1" si="52"/>
        <v>0</v>
      </c>
    </row>
    <row r="238" spans="3:17" x14ac:dyDescent="0.2">
      <c r="C238" s="69">
        <f t="shared" ca="1" si="48"/>
        <v>50406</v>
      </c>
      <c r="D238" s="70">
        <f t="shared" ca="1" si="49"/>
        <v>53</v>
      </c>
      <c r="E238" s="69">
        <f t="shared" ca="1" si="53"/>
        <v>50599</v>
      </c>
      <c r="F238" s="65" t="s">
        <v>254</v>
      </c>
      <c r="G238" s="65"/>
      <c r="H238" s="122">
        <f t="shared" si="50"/>
        <v>219</v>
      </c>
      <c r="I238" s="123">
        <f t="shared" si="54"/>
        <v>0</v>
      </c>
      <c r="J238" s="58">
        <f t="shared" si="44"/>
        <v>0</v>
      </c>
      <c r="K238" s="51">
        <f t="shared" si="51"/>
        <v>0</v>
      </c>
      <c r="L238" s="51">
        <f t="shared" si="43"/>
        <v>0</v>
      </c>
      <c r="M238" s="58">
        <f t="shared" si="45"/>
        <v>0</v>
      </c>
      <c r="N238" s="58">
        <f t="shared" ca="1" si="46"/>
        <v>0</v>
      </c>
      <c r="O238" s="58">
        <f t="shared" si="47"/>
        <v>0</v>
      </c>
      <c r="P238" s="121">
        <f t="shared" si="55"/>
        <v>219</v>
      </c>
      <c r="Q238" s="124">
        <f t="shared" ca="1" si="52"/>
        <v>0</v>
      </c>
    </row>
    <row r="239" spans="3:17" x14ac:dyDescent="0.2">
      <c r="C239" s="69">
        <f t="shared" ca="1" si="48"/>
        <v>50406</v>
      </c>
      <c r="D239" s="70">
        <f t="shared" ca="1" si="49"/>
        <v>53</v>
      </c>
      <c r="E239" s="69">
        <f t="shared" ca="1" si="53"/>
        <v>50630</v>
      </c>
      <c r="F239" s="65" t="s">
        <v>255</v>
      </c>
      <c r="G239" s="65"/>
      <c r="H239" s="122">
        <f t="shared" si="50"/>
        <v>220</v>
      </c>
      <c r="I239" s="123">
        <f t="shared" si="54"/>
        <v>0</v>
      </c>
      <c r="J239" s="58">
        <f t="shared" si="44"/>
        <v>0</v>
      </c>
      <c r="K239" s="51">
        <f t="shared" si="51"/>
        <v>0</v>
      </c>
      <c r="L239" s="51">
        <f t="shared" si="43"/>
        <v>0</v>
      </c>
      <c r="M239" s="58">
        <f t="shared" si="45"/>
        <v>0</v>
      </c>
      <c r="N239" s="58">
        <f t="shared" ca="1" si="46"/>
        <v>0</v>
      </c>
      <c r="O239" s="58">
        <f t="shared" si="47"/>
        <v>0</v>
      </c>
      <c r="P239" s="121">
        <f t="shared" si="55"/>
        <v>220</v>
      </c>
      <c r="Q239" s="124">
        <f t="shared" ca="1" si="52"/>
        <v>0</v>
      </c>
    </row>
    <row r="240" spans="3:17" x14ac:dyDescent="0.2">
      <c r="C240" s="69">
        <f t="shared" ca="1" si="48"/>
        <v>50406</v>
      </c>
      <c r="D240" s="70">
        <f t="shared" ca="1" si="49"/>
        <v>53</v>
      </c>
      <c r="E240" s="69">
        <f t="shared" ca="1" si="53"/>
        <v>50661</v>
      </c>
      <c r="F240" s="65" t="s">
        <v>256</v>
      </c>
      <c r="G240" s="65"/>
      <c r="H240" s="122">
        <f t="shared" si="50"/>
        <v>221</v>
      </c>
      <c r="I240" s="123">
        <f t="shared" si="54"/>
        <v>0</v>
      </c>
      <c r="J240" s="58">
        <f t="shared" si="44"/>
        <v>0</v>
      </c>
      <c r="K240" s="51">
        <f t="shared" si="51"/>
        <v>0</v>
      </c>
      <c r="L240" s="51">
        <f t="shared" si="43"/>
        <v>0</v>
      </c>
      <c r="M240" s="58">
        <f t="shared" si="45"/>
        <v>0</v>
      </c>
      <c r="N240" s="58">
        <f t="shared" ca="1" si="46"/>
        <v>0</v>
      </c>
      <c r="O240" s="58">
        <f t="shared" si="47"/>
        <v>0</v>
      </c>
      <c r="P240" s="121">
        <f t="shared" si="55"/>
        <v>221</v>
      </c>
      <c r="Q240" s="124">
        <f t="shared" ca="1" si="52"/>
        <v>0</v>
      </c>
    </row>
    <row r="241" spans="3:17" x14ac:dyDescent="0.2">
      <c r="C241" s="69">
        <f t="shared" ca="1" si="48"/>
        <v>50406</v>
      </c>
      <c r="D241" s="70">
        <f t="shared" ca="1" si="49"/>
        <v>53</v>
      </c>
      <c r="E241" s="69">
        <f t="shared" ca="1" si="53"/>
        <v>50691</v>
      </c>
      <c r="F241" s="65" t="s">
        <v>257</v>
      </c>
      <c r="G241" s="65"/>
      <c r="H241" s="122">
        <f t="shared" si="50"/>
        <v>222</v>
      </c>
      <c r="I241" s="123">
        <f t="shared" si="54"/>
        <v>0</v>
      </c>
      <c r="J241" s="58">
        <f t="shared" si="44"/>
        <v>0</v>
      </c>
      <c r="K241" s="51">
        <f t="shared" si="51"/>
        <v>0</v>
      </c>
      <c r="L241" s="51">
        <f t="shared" si="43"/>
        <v>0</v>
      </c>
      <c r="M241" s="58">
        <f t="shared" si="45"/>
        <v>0</v>
      </c>
      <c r="N241" s="58">
        <f t="shared" ca="1" si="46"/>
        <v>0</v>
      </c>
      <c r="O241" s="58">
        <f t="shared" si="47"/>
        <v>0</v>
      </c>
      <c r="P241" s="121">
        <f t="shared" si="55"/>
        <v>222</v>
      </c>
      <c r="Q241" s="124">
        <f t="shared" ca="1" si="52"/>
        <v>0</v>
      </c>
    </row>
    <row r="242" spans="3:17" x14ac:dyDescent="0.2">
      <c r="C242" s="69">
        <f t="shared" ca="1" si="48"/>
        <v>50406</v>
      </c>
      <c r="D242" s="70">
        <f t="shared" ca="1" si="49"/>
        <v>53</v>
      </c>
      <c r="E242" s="69">
        <f t="shared" ca="1" si="53"/>
        <v>50722</v>
      </c>
      <c r="F242" s="65" t="s">
        <v>258</v>
      </c>
      <c r="G242" s="65"/>
      <c r="H242" s="122">
        <f t="shared" si="50"/>
        <v>223</v>
      </c>
      <c r="I242" s="123">
        <f t="shared" si="54"/>
        <v>0</v>
      </c>
      <c r="J242" s="58">
        <f t="shared" si="44"/>
        <v>0</v>
      </c>
      <c r="K242" s="51">
        <f t="shared" si="51"/>
        <v>0</v>
      </c>
      <c r="L242" s="51">
        <f t="shared" si="43"/>
        <v>0</v>
      </c>
      <c r="M242" s="58">
        <f t="shared" si="45"/>
        <v>0</v>
      </c>
      <c r="N242" s="58">
        <f t="shared" ca="1" si="46"/>
        <v>0</v>
      </c>
      <c r="O242" s="58">
        <f t="shared" si="47"/>
        <v>0</v>
      </c>
      <c r="P242" s="121">
        <f t="shared" si="55"/>
        <v>223</v>
      </c>
      <c r="Q242" s="124">
        <f t="shared" ca="1" si="52"/>
        <v>0</v>
      </c>
    </row>
    <row r="243" spans="3:17" x14ac:dyDescent="0.2">
      <c r="C243" s="69">
        <f t="shared" ca="1" si="48"/>
        <v>50406</v>
      </c>
      <c r="D243" s="70">
        <f t="shared" ca="1" si="49"/>
        <v>53</v>
      </c>
      <c r="E243" s="69">
        <f t="shared" ca="1" si="53"/>
        <v>50752</v>
      </c>
      <c r="F243" s="65" t="s">
        <v>259</v>
      </c>
      <c r="G243" s="65"/>
      <c r="H243" s="122">
        <f t="shared" si="50"/>
        <v>224</v>
      </c>
      <c r="I243" s="123">
        <f t="shared" si="54"/>
        <v>0</v>
      </c>
      <c r="J243" s="58">
        <f t="shared" si="44"/>
        <v>0</v>
      </c>
      <c r="K243" s="51">
        <f t="shared" si="51"/>
        <v>0</v>
      </c>
      <c r="L243" s="51">
        <f t="shared" si="43"/>
        <v>0</v>
      </c>
      <c r="M243" s="58">
        <f t="shared" si="45"/>
        <v>0</v>
      </c>
      <c r="N243" s="58">
        <f t="shared" ca="1" si="46"/>
        <v>0</v>
      </c>
      <c r="O243" s="58">
        <f t="shared" si="47"/>
        <v>0</v>
      </c>
      <c r="P243" s="121">
        <f t="shared" si="55"/>
        <v>224</v>
      </c>
      <c r="Q243" s="124">
        <f t="shared" ca="1" si="52"/>
        <v>0</v>
      </c>
    </row>
    <row r="244" spans="3:17" x14ac:dyDescent="0.2">
      <c r="C244" s="69">
        <f t="shared" ca="1" si="48"/>
        <v>50771</v>
      </c>
      <c r="D244" s="70">
        <f t="shared" ca="1" si="49"/>
        <v>54</v>
      </c>
      <c r="E244" s="69">
        <f t="shared" ca="1" si="53"/>
        <v>50783</v>
      </c>
      <c r="F244" s="65" t="s">
        <v>260</v>
      </c>
      <c r="G244" s="65"/>
      <c r="H244" s="122">
        <f t="shared" si="50"/>
        <v>225</v>
      </c>
      <c r="I244" s="123">
        <f t="shared" si="54"/>
        <v>0</v>
      </c>
      <c r="J244" s="58">
        <f t="shared" si="44"/>
        <v>0</v>
      </c>
      <c r="K244" s="51">
        <f t="shared" si="51"/>
        <v>0</v>
      </c>
      <c r="L244" s="51">
        <f t="shared" si="43"/>
        <v>0</v>
      </c>
      <c r="M244" s="58">
        <f t="shared" si="45"/>
        <v>0</v>
      </c>
      <c r="N244" s="58">
        <f t="shared" ca="1" si="46"/>
        <v>0</v>
      </c>
      <c r="O244" s="58">
        <f t="shared" si="47"/>
        <v>0</v>
      </c>
      <c r="P244" s="121">
        <f t="shared" si="55"/>
        <v>225</v>
      </c>
      <c r="Q244" s="124">
        <f t="shared" ca="1" si="52"/>
        <v>0</v>
      </c>
    </row>
    <row r="245" spans="3:17" x14ac:dyDescent="0.2">
      <c r="C245" s="69">
        <f t="shared" ca="1" si="48"/>
        <v>50771</v>
      </c>
      <c r="D245" s="70">
        <f t="shared" ca="1" si="49"/>
        <v>54</v>
      </c>
      <c r="E245" s="69">
        <f t="shared" ca="1" si="53"/>
        <v>50814</v>
      </c>
      <c r="F245" s="65" t="s">
        <v>261</v>
      </c>
      <c r="G245" s="65"/>
      <c r="H245" s="122">
        <f t="shared" si="50"/>
        <v>226</v>
      </c>
      <c r="I245" s="123">
        <f t="shared" si="54"/>
        <v>0</v>
      </c>
      <c r="J245" s="58">
        <f t="shared" si="44"/>
        <v>0</v>
      </c>
      <c r="K245" s="51">
        <f t="shared" si="51"/>
        <v>0</v>
      </c>
      <c r="L245" s="51">
        <f t="shared" si="43"/>
        <v>0</v>
      </c>
      <c r="M245" s="58">
        <f t="shared" si="45"/>
        <v>0</v>
      </c>
      <c r="N245" s="58">
        <f t="shared" ca="1" si="46"/>
        <v>0</v>
      </c>
      <c r="O245" s="58">
        <f t="shared" si="47"/>
        <v>0</v>
      </c>
      <c r="P245" s="121">
        <f t="shared" si="55"/>
        <v>226</v>
      </c>
      <c r="Q245" s="124">
        <f t="shared" ca="1" si="52"/>
        <v>0</v>
      </c>
    </row>
    <row r="246" spans="3:17" x14ac:dyDescent="0.2">
      <c r="C246" s="69">
        <f t="shared" ca="1" si="48"/>
        <v>50771</v>
      </c>
      <c r="D246" s="70">
        <f t="shared" ca="1" si="49"/>
        <v>54</v>
      </c>
      <c r="E246" s="69">
        <f t="shared" ca="1" si="53"/>
        <v>50842</v>
      </c>
      <c r="F246" s="65" t="s">
        <v>262</v>
      </c>
      <c r="G246" s="65"/>
      <c r="H246" s="122">
        <f t="shared" si="50"/>
        <v>227</v>
      </c>
      <c r="I246" s="123">
        <f t="shared" si="54"/>
        <v>0</v>
      </c>
      <c r="J246" s="58">
        <f t="shared" si="44"/>
        <v>0</v>
      </c>
      <c r="K246" s="51">
        <f t="shared" si="51"/>
        <v>0</v>
      </c>
      <c r="L246" s="51">
        <f t="shared" si="43"/>
        <v>0</v>
      </c>
      <c r="M246" s="58">
        <f t="shared" si="45"/>
        <v>0</v>
      </c>
      <c r="N246" s="58">
        <f t="shared" ca="1" si="46"/>
        <v>0</v>
      </c>
      <c r="O246" s="58">
        <f t="shared" si="47"/>
        <v>0</v>
      </c>
      <c r="P246" s="121">
        <f t="shared" si="55"/>
        <v>227</v>
      </c>
      <c r="Q246" s="124">
        <f t="shared" ca="1" si="52"/>
        <v>0</v>
      </c>
    </row>
    <row r="247" spans="3:17" x14ac:dyDescent="0.2">
      <c r="C247" s="69">
        <f t="shared" ca="1" si="48"/>
        <v>50771</v>
      </c>
      <c r="D247" s="70">
        <f t="shared" ca="1" si="49"/>
        <v>54</v>
      </c>
      <c r="E247" s="69">
        <f t="shared" ca="1" si="53"/>
        <v>50873</v>
      </c>
      <c r="F247" s="65" t="s">
        <v>263</v>
      </c>
      <c r="G247" s="65"/>
      <c r="H247" s="122">
        <f t="shared" si="50"/>
        <v>228</v>
      </c>
      <c r="I247" s="123">
        <f t="shared" si="54"/>
        <v>0</v>
      </c>
      <c r="J247" s="58">
        <f t="shared" si="44"/>
        <v>0</v>
      </c>
      <c r="K247" s="51">
        <f t="shared" si="51"/>
        <v>0</v>
      </c>
      <c r="L247" s="51">
        <f t="shared" si="43"/>
        <v>0</v>
      </c>
      <c r="M247" s="58">
        <f t="shared" si="45"/>
        <v>0</v>
      </c>
      <c r="N247" s="58">
        <f t="shared" ca="1" si="46"/>
        <v>0</v>
      </c>
      <c r="O247" s="58">
        <f t="shared" si="47"/>
        <v>0</v>
      </c>
      <c r="P247" s="121">
        <f t="shared" si="55"/>
        <v>228</v>
      </c>
      <c r="Q247" s="124">
        <f t="shared" ca="1" si="52"/>
        <v>0</v>
      </c>
    </row>
    <row r="248" spans="3:17" x14ac:dyDescent="0.2">
      <c r="C248" s="69">
        <f t="shared" ca="1" si="48"/>
        <v>50771</v>
      </c>
      <c r="D248" s="70">
        <f t="shared" ca="1" si="49"/>
        <v>54</v>
      </c>
      <c r="E248" s="69">
        <f t="shared" ca="1" si="53"/>
        <v>50903</v>
      </c>
      <c r="F248" s="65" t="s">
        <v>264</v>
      </c>
      <c r="G248" s="65"/>
      <c r="H248" s="122">
        <f t="shared" si="50"/>
        <v>229</v>
      </c>
      <c r="I248" s="123">
        <f t="shared" si="54"/>
        <v>0</v>
      </c>
      <c r="J248" s="58">
        <f t="shared" si="44"/>
        <v>0</v>
      </c>
      <c r="K248" s="51">
        <f t="shared" si="51"/>
        <v>0</v>
      </c>
      <c r="L248" s="51">
        <f t="shared" si="43"/>
        <v>0</v>
      </c>
      <c r="M248" s="58">
        <f t="shared" si="45"/>
        <v>0</v>
      </c>
      <c r="N248" s="58">
        <f t="shared" ca="1" si="46"/>
        <v>0</v>
      </c>
      <c r="O248" s="58">
        <f t="shared" si="47"/>
        <v>0</v>
      </c>
      <c r="P248" s="121">
        <f t="shared" si="55"/>
        <v>229</v>
      </c>
      <c r="Q248" s="124">
        <f t="shared" ca="1" si="52"/>
        <v>0</v>
      </c>
    </row>
    <row r="249" spans="3:17" x14ac:dyDescent="0.2">
      <c r="C249" s="69">
        <f t="shared" ca="1" si="48"/>
        <v>50771</v>
      </c>
      <c r="D249" s="70">
        <f t="shared" ca="1" si="49"/>
        <v>54</v>
      </c>
      <c r="E249" s="69">
        <f t="shared" ca="1" si="53"/>
        <v>50934</v>
      </c>
      <c r="F249" s="65" t="s">
        <v>265</v>
      </c>
      <c r="G249" s="65"/>
      <c r="H249" s="122">
        <f t="shared" si="50"/>
        <v>230</v>
      </c>
      <c r="I249" s="123">
        <f t="shared" si="54"/>
        <v>0</v>
      </c>
      <c r="J249" s="58">
        <f t="shared" si="44"/>
        <v>0</v>
      </c>
      <c r="K249" s="51">
        <f t="shared" si="51"/>
        <v>0</v>
      </c>
      <c r="L249" s="51">
        <f t="shared" si="43"/>
        <v>0</v>
      </c>
      <c r="M249" s="58">
        <f t="shared" si="45"/>
        <v>0</v>
      </c>
      <c r="N249" s="58">
        <f t="shared" ca="1" si="46"/>
        <v>0</v>
      </c>
      <c r="O249" s="58">
        <f t="shared" si="47"/>
        <v>0</v>
      </c>
      <c r="P249" s="121">
        <f t="shared" si="55"/>
        <v>230</v>
      </c>
      <c r="Q249" s="124">
        <f t="shared" ca="1" si="52"/>
        <v>0</v>
      </c>
    </row>
    <row r="250" spans="3:17" x14ac:dyDescent="0.2">
      <c r="C250" s="69">
        <f t="shared" ca="1" si="48"/>
        <v>50771</v>
      </c>
      <c r="D250" s="70">
        <f t="shared" ca="1" si="49"/>
        <v>54</v>
      </c>
      <c r="E250" s="69">
        <f t="shared" ca="1" si="53"/>
        <v>50964</v>
      </c>
      <c r="F250" s="65" t="s">
        <v>266</v>
      </c>
      <c r="G250" s="65"/>
      <c r="H250" s="122">
        <f t="shared" si="50"/>
        <v>231</v>
      </c>
      <c r="I250" s="123">
        <f t="shared" si="54"/>
        <v>0</v>
      </c>
      <c r="J250" s="58">
        <f t="shared" si="44"/>
        <v>0</v>
      </c>
      <c r="K250" s="51">
        <f t="shared" si="51"/>
        <v>0</v>
      </c>
      <c r="L250" s="51">
        <f t="shared" si="43"/>
        <v>0</v>
      </c>
      <c r="M250" s="58">
        <f t="shared" si="45"/>
        <v>0</v>
      </c>
      <c r="N250" s="58">
        <f t="shared" ca="1" si="46"/>
        <v>0</v>
      </c>
      <c r="O250" s="58">
        <f t="shared" si="47"/>
        <v>0</v>
      </c>
      <c r="P250" s="121">
        <f t="shared" si="55"/>
        <v>231</v>
      </c>
      <c r="Q250" s="124">
        <f t="shared" ca="1" si="52"/>
        <v>0</v>
      </c>
    </row>
    <row r="251" spans="3:17" x14ac:dyDescent="0.2">
      <c r="C251" s="69">
        <f t="shared" ca="1" si="48"/>
        <v>50771</v>
      </c>
      <c r="D251" s="70">
        <f t="shared" ca="1" si="49"/>
        <v>54</v>
      </c>
      <c r="E251" s="69">
        <f t="shared" ca="1" si="53"/>
        <v>50995</v>
      </c>
      <c r="F251" s="65" t="s">
        <v>267</v>
      </c>
      <c r="G251" s="65"/>
      <c r="H251" s="122">
        <f t="shared" si="50"/>
        <v>232</v>
      </c>
      <c r="I251" s="123">
        <f t="shared" si="54"/>
        <v>0</v>
      </c>
      <c r="J251" s="58">
        <f t="shared" si="44"/>
        <v>0</v>
      </c>
      <c r="K251" s="51">
        <f t="shared" si="51"/>
        <v>0</v>
      </c>
      <c r="L251" s="51">
        <f t="shared" si="43"/>
        <v>0</v>
      </c>
      <c r="M251" s="58">
        <f t="shared" si="45"/>
        <v>0</v>
      </c>
      <c r="N251" s="58">
        <f t="shared" ca="1" si="46"/>
        <v>0</v>
      </c>
      <c r="O251" s="58">
        <f t="shared" si="47"/>
        <v>0</v>
      </c>
      <c r="P251" s="121">
        <f t="shared" si="55"/>
        <v>232</v>
      </c>
      <c r="Q251" s="124">
        <f t="shared" ca="1" si="52"/>
        <v>0</v>
      </c>
    </row>
    <row r="252" spans="3:17" x14ac:dyDescent="0.2">
      <c r="C252" s="69">
        <f t="shared" ca="1" si="48"/>
        <v>50771</v>
      </c>
      <c r="D252" s="70">
        <f t="shared" ca="1" si="49"/>
        <v>54</v>
      </c>
      <c r="E252" s="69">
        <f t="shared" ca="1" si="53"/>
        <v>51026</v>
      </c>
      <c r="F252" s="65" t="s">
        <v>268</v>
      </c>
      <c r="G252" s="65"/>
      <c r="H252" s="122">
        <f t="shared" si="50"/>
        <v>233</v>
      </c>
      <c r="I252" s="123">
        <f t="shared" si="54"/>
        <v>0</v>
      </c>
      <c r="J252" s="58">
        <f t="shared" si="44"/>
        <v>0</v>
      </c>
      <c r="K252" s="51">
        <f t="shared" si="51"/>
        <v>0</v>
      </c>
      <c r="L252" s="51">
        <f t="shared" si="43"/>
        <v>0</v>
      </c>
      <c r="M252" s="58">
        <f t="shared" si="45"/>
        <v>0</v>
      </c>
      <c r="N252" s="58">
        <f t="shared" ca="1" si="46"/>
        <v>0</v>
      </c>
      <c r="O252" s="58">
        <f t="shared" si="47"/>
        <v>0</v>
      </c>
      <c r="P252" s="121">
        <f t="shared" si="55"/>
        <v>233</v>
      </c>
      <c r="Q252" s="124">
        <f t="shared" ca="1" si="52"/>
        <v>0</v>
      </c>
    </row>
    <row r="253" spans="3:17" x14ac:dyDescent="0.2">
      <c r="C253" s="69">
        <f t="shared" ca="1" si="48"/>
        <v>50771</v>
      </c>
      <c r="D253" s="70">
        <f t="shared" ca="1" si="49"/>
        <v>54</v>
      </c>
      <c r="E253" s="69">
        <f t="shared" ca="1" si="53"/>
        <v>51056</v>
      </c>
      <c r="F253" s="65" t="s">
        <v>269</v>
      </c>
      <c r="G253" s="65"/>
      <c r="H253" s="122">
        <f t="shared" si="50"/>
        <v>234</v>
      </c>
      <c r="I253" s="123">
        <f t="shared" si="54"/>
        <v>0</v>
      </c>
      <c r="J253" s="58">
        <f t="shared" si="44"/>
        <v>0</v>
      </c>
      <c r="K253" s="51">
        <f t="shared" si="51"/>
        <v>0</v>
      </c>
      <c r="L253" s="51">
        <f t="shared" si="43"/>
        <v>0</v>
      </c>
      <c r="M253" s="58">
        <f t="shared" si="45"/>
        <v>0</v>
      </c>
      <c r="N253" s="58">
        <f t="shared" ca="1" si="46"/>
        <v>0</v>
      </c>
      <c r="O253" s="58">
        <f t="shared" si="47"/>
        <v>0</v>
      </c>
      <c r="P253" s="121">
        <f t="shared" si="55"/>
        <v>234</v>
      </c>
      <c r="Q253" s="124">
        <f t="shared" ca="1" si="52"/>
        <v>0</v>
      </c>
    </row>
    <row r="254" spans="3:17" x14ac:dyDescent="0.2">
      <c r="C254" s="69">
        <f t="shared" ca="1" si="48"/>
        <v>50771</v>
      </c>
      <c r="D254" s="70">
        <f t="shared" ca="1" si="49"/>
        <v>54</v>
      </c>
      <c r="E254" s="69">
        <f t="shared" ca="1" si="53"/>
        <v>51087</v>
      </c>
      <c r="F254" s="65" t="s">
        <v>270</v>
      </c>
      <c r="G254" s="65"/>
      <c r="H254" s="122">
        <f t="shared" si="50"/>
        <v>235</v>
      </c>
      <c r="I254" s="123">
        <f t="shared" si="54"/>
        <v>0</v>
      </c>
      <c r="J254" s="58">
        <f t="shared" si="44"/>
        <v>0</v>
      </c>
      <c r="K254" s="51">
        <f t="shared" si="51"/>
        <v>0</v>
      </c>
      <c r="L254" s="51">
        <f t="shared" si="43"/>
        <v>0</v>
      </c>
      <c r="M254" s="58">
        <f t="shared" si="45"/>
        <v>0</v>
      </c>
      <c r="N254" s="58">
        <f t="shared" ca="1" si="46"/>
        <v>0</v>
      </c>
      <c r="O254" s="58">
        <f t="shared" si="47"/>
        <v>0</v>
      </c>
      <c r="P254" s="121">
        <f t="shared" si="55"/>
        <v>235</v>
      </c>
      <c r="Q254" s="124">
        <f t="shared" ca="1" si="52"/>
        <v>0</v>
      </c>
    </row>
    <row r="255" spans="3:17" x14ac:dyDescent="0.2">
      <c r="C255" s="69">
        <f t="shared" ca="1" si="48"/>
        <v>50771</v>
      </c>
      <c r="D255" s="70">
        <f t="shared" ca="1" si="49"/>
        <v>54</v>
      </c>
      <c r="E255" s="69">
        <f t="shared" ca="1" si="53"/>
        <v>51117</v>
      </c>
      <c r="F255" s="65" t="s">
        <v>271</v>
      </c>
      <c r="G255" s="65"/>
      <c r="H255" s="122">
        <f t="shared" si="50"/>
        <v>236</v>
      </c>
      <c r="I255" s="123">
        <f t="shared" si="54"/>
        <v>0</v>
      </c>
      <c r="J255" s="58">
        <f t="shared" si="44"/>
        <v>0</v>
      </c>
      <c r="K255" s="51">
        <f t="shared" si="51"/>
        <v>0</v>
      </c>
      <c r="L255" s="51">
        <f t="shared" si="43"/>
        <v>0</v>
      </c>
      <c r="M255" s="58">
        <f t="shared" si="45"/>
        <v>0</v>
      </c>
      <c r="N255" s="58">
        <f t="shared" ca="1" si="46"/>
        <v>0</v>
      </c>
      <c r="O255" s="58">
        <f t="shared" si="47"/>
        <v>0</v>
      </c>
      <c r="P255" s="121">
        <f t="shared" si="55"/>
        <v>236</v>
      </c>
      <c r="Q255" s="124">
        <f t="shared" ca="1" si="52"/>
        <v>0</v>
      </c>
    </row>
    <row r="256" spans="3:17" x14ac:dyDescent="0.2">
      <c r="C256" s="69">
        <f t="shared" ca="1" si="48"/>
        <v>51136</v>
      </c>
      <c r="D256" s="70">
        <f t="shared" ca="1" si="49"/>
        <v>55</v>
      </c>
      <c r="E256" s="69">
        <f t="shared" ca="1" si="53"/>
        <v>51148</v>
      </c>
      <c r="F256" s="65" t="s">
        <v>272</v>
      </c>
      <c r="G256" s="65"/>
      <c r="H256" s="122">
        <f t="shared" si="50"/>
        <v>237</v>
      </c>
      <c r="I256" s="123">
        <f t="shared" si="54"/>
        <v>0</v>
      </c>
      <c r="J256" s="58">
        <f t="shared" si="44"/>
        <v>0</v>
      </c>
      <c r="K256" s="51">
        <f t="shared" si="51"/>
        <v>0</v>
      </c>
      <c r="L256" s="51">
        <f t="shared" si="43"/>
        <v>0</v>
      </c>
      <c r="M256" s="58">
        <f t="shared" si="45"/>
        <v>0</v>
      </c>
      <c r="N256" s="58">
        <f t="shared" ca="1" si="46"/>
        <v>0</v>
      </c>
      <c r="O256" s="58">
        <f t="shared" si="47"/>
        <v>0</v>
      </c>
      <c r="P256" s="121">
        <f t="shared" si="55"/>
        <v>237</v>
      </c>
      <c r="Q256" s="124">
        <f t="shared" ca="1" si="52"/>
        <v>0</v>
      </c>
    </row>
    <row r="257" spans="3:17" x14ac:dyDescent="0.2">
      <c r="C257" s="69">
        <f t="shared" ca="1" si="48"/>
        <v>51136</v>
      </c>
      <c r="D257" s="70">
        <f t="shared" ca="1" si="49"/>
        <v>55</v>
      </c>
      <c r="E257" s="69">
        <f t="shared" ca="1" si="53"/>
        <v>51179</v>
      </c>
      <c r="F257" s="65" t="s">
        <v>273</v>
      </c>
      <c r="G257" s="65"/>
      <c r="H257" s="122">
        <f t="shared" si="50"/>
        <v>238</v>
      </c>
      <c r="I257" s="123">
        <f t="shared" si="54"/>
        <v>0</v>
      </c>
      <c r="J257" s="58">
        <f t="shared" si="44"/>
        <v>0</v>
      </c>
      <c r="K257" s="51">
        <f t="shared" si="51"/>
        <v>0</v>
      </c>
      <c r="L257" s="51">
        <f t="shared" si="43"/>
        <v>0</v>
      </c>
      <c r="M257" s="58">
        <f t="shared" si="45"/>
        <v>0</v>
      </c>
      <c r="N257" s="58">
        <f t="shared" ca="1" si="46"/>
        <v>0</v>
      </c>
      <c r="O257" s="58">
        <f t="shared" si="47"/>
        <v>0</v>
      </c>
      <c r="P257" s="121">
        <f t="shared" si="55"/>
        <v>238</v>
      </c>
      <c r="Q257" s="124">
        <f t="shared" ca="1" si="52"/>
        <v>0</v>
      </c>
    </row>
    <row r="258" spans="3:17" x14ac:dyDescent="0.2">
      <c r="C258" s="69">
        <f t="shared" ca="1" si="48"/>
        <v>51136</v>
      </c>
      <c r="D258" s="70">
        <f t="shared" ca="1" si="49"/>
        <v>55</v>
      </c>
      <c r="E258" s="69">
        <f t="shared" ca="1" si="53"/>
        <v>51208</v>
      </c>
      <c r="F258" s="65" t="s">
        <v>274</v>
      </c>
      <c r="G258" s="65"/>
      <c r="H258" s="122">
        <f t="shared" si="50"/>
        <v>239</v>
      </c>
      <c r="I258" s="123">
        <f t="shared" si="54"/>
        <v>0</v>
      </c>
      <c r="J258" s="58">
        <f t="shared" si="44"/>
        <v>0</v>
      </c>
      <c r="K258" s="51">
        <f t="shared" si="51"/>
        <v>0</v>
      </c>
      <c r="L258" s="51">
        <f t="shared" si="43"/>
        <v>0</v>
      </c>
      <c r="M258" s="58">
        <f t="shared" si="45"/>
        <v>0</v>
      </c>
      <c r="N258" s="58">
        <f t="shared" ca="1" si="46"/>
        <v>0</v>
      </c>
      <c r="O258" s="58">
        <f t="shared" si="47"/>
        <v>0</v>
      </c>
      <c r="P258" s="121">
        <f t="shared" si="55"/>
        <v>239</v>
      </c>
      <c r="Q258" s="124">
        <f t="shared" ca="1" si="52"/>
        <v>0</v>
      </c>
    </row>
    <row r="259" spans="3:17" x14ac:dyDescent="0.2">
      <c r="C259" s="69">
        <f t="shared" ca="1" si="48"/>
        <v>51136</v>
      </c>
      <c r="D259" s="70">
        <f t="shared" ca="1" si="49"/>
        <v>55</v>
      </c>
      <c r="E259" s="69">
        <f t="shared" ca="1" si="53"/>
        <v>51239</v>
      </c>
      <c r="F259" s="65" t="s">
        <v>275</v>
      </c>
      <c r="G259" s="65"/>
      <c r="H259" s="122">
        <f t="shared" si="50"/>
        <v>240</v>
      </c>
      <c r="I259" s="123">
        <f t="shared" si="54"/>
        <v>0</v>
      </c>
      <c r="J259" s="58">
        <f t="shared" si="44"/>
        <v>0</v>
      </c>
      <c r="K259" s="51">
        <f t="shared" si="51"/>
        <v>0</v>
      </c>
      <c r="L259" s="51">
        <f t="shared" si="43"/>
        <v>0</v>
      </c>
      <c r="M259" s="58">
        <f t="shared" si="45"/>
        <v>0</v>
      </c>
      <c r="N259" s="58">
        <f t="shared" ca="1" si="46"/>
        <v>0</v>
      </c>
      <c r="O259" s="58">
        <f t="shared" si="47"/>
        <v>0</v>
      </c>
      <c r="P259" s="121">
        <f t="shared" si="55"/>
        <v>240</v>
      </c>
      <c r="Q259" s="124">
        <f t="shared" ca="1" si="52"/>
        <v>0</v>
      </c>
    </row>
    <row r="261" spans="3:17" x14ac:dyDescent="0.2">
      <c r="J261" s="180"/>
      <c r="K261" s="180"/>
      <c r="L261" s="180"/>
      <c r="N261" s="180"/>
      <c r="O261" s="180"/>
    </row>
    <row r="263" spans="3:17" x14ac:dyDescent="0.2">
      <c r="J263" s="180"/>
    </row>
  </sheetData>
  <sheetProtection algorithmName="SHA-512" hashValue="3Owy9WHWBaY+rse28pD0P4YQqjxYiH0fQcoHMUVkyNN3gfyUKT/LXPM+5fTwj1xAKFZRCLwQV3Ovh87K2ytabg==" saltValue="Q2bUx1X2PYlqUxlCU8QYeQ==" spinCount="100000" sheet="1" objects="1" scenarios="1"/>
  <mergeCells count="5">
    <mergeCell ref="I2:Q2"/>
    <mergeCell ref="AB3:AC3"/>
    <mergeCell ref="I4:J4"/>
    <mergeCell ref="AG4:AH4"/>
    <mergeCell ref="B18:E18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W67"/>
  <sheetViews>
    <sheetView showGridLines="0" topLeftCell="R11" zoomScale="80" zoomScaleNormal="80" workbookViewId="0">
      <selection activeCell="U34" sqref="U34"/>
    </sheetView>
  </sheetViews>
  <sheetFormatPr baseColWidth="10" defaultRowHeight="15" x14ac:dyDescent="0.25"/>
  <cols>
    <col min="1" max="1" width="16.28515625" bestFit="1" customWidth="1"/>
    <col min="2" max="2" width="14.28515625" bestFit="1" customWidth="1"/>
    <col min="3" max="29" width="14.28515625" customWidth="1"/>
    <col min="30" max="30" width="15.5703125" bestFit="1" customWidth="1"/>
    <col min="32" max="32" width="12" bestFit="1" customWidth="1"/>
    <col min="33" max="33" width="12.7109375" bestFit="1" customWidth="1"/>
    <col min="35" max="35" width="1.28515625" style="14" customWidth="1"/>
    <col min="36" max="36" width="12" bestFit="1" customWidth="1"/>
    <col min="37" max="37" width="13.28515625" bestFit="1" customWidth="1"/>
    <col min="38" max="38" width="12.28515625" bestFit="1" customWidth="1"/>
    <col min="39" max="39" width="14.140625" bestFit="1" customWidth="1"/>
    <col min="41" max="41" width="13.140625" bestFit="1" customWidth="1"/>
    <col min="42" max="42" width="11.5703125" bestFit="1" customWidth="1"/>
    <col min="43" max="43" width="13" bestFit="1" customWidth="1"/>
  </cols>
  <sheetData>
    <row r="2" spans="1:48" x14ac:dyDescent="0.25">
      <c r="A2" s="12" t="s">
        <v>0</v>
      </c>
      <c r="AL2" s="5"/>
    </row>
    <row r="3" spans="1:48" s="14" customFormat="1" x14ac:dyDescent="0.25">
      <c r="A3" s="16"/>
      <c r="AK3" s="20"/>
      <c r="AL3" s="20"/>
    </row>
    <row r="4" spans="1:48" s="14" customFormat="1" x14ac:dyDescent="0.25">
      <c r="A4" t="s">
        <v>100</v>
      </c>
      <c r="B4" s="3">
        <v>737717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K4" s="20"/>
      <c r="AL4" s="20"/>
    </row>
    <row r="5" spans="1:48" s="14" customFormat="1" x14ac:dyDescent="0.25">
      <c r="A5" t="s">
        <v>101</v>
      </c>
      <c r="B5" s="3">
        <f>+B4*2</f>
        <v>1475434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K5" s="20"/>
      <c r="AL5" s="20"/>
    </row>
    <row r="6" spans="1:48" s="14" customFormat="1" x14ac:dyDescent="0.25">
      <c r="A6" t="s">
        <v>91</v>
      </c>
      <c r="B6" s="14">
        <v>48</v>
      </c>
      <c r="AK6" s="20"/>
      <c r="AL6" s="20"/>
    </row>
    <row r="7" spans="1:48" s="14" customFormat="1" x14ac:dyDescent="0.25">
      <c r="A7" s="16"/>
      <c r="AK7" s="20"/>
      <c r="AL7" s="20"/>
    </row>
    <row r="8" spans="1:48" s="14" customFormat="1" x14ac:dyDescent="0.25">
      <c r="A8" s="16"/>
      <c r="AK8" s="5"/>
      <c r="AL8" s="20"/>
    </row>
    <row r="9" spans="1:48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E9" s="3"/>
      <c r="AF9" s="3"/>
      <c r="AK9" s="5"/>
    </row>
    <row r="10" spans="1:48" x14ac:dyDescent="0.25"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J10" s="3"/>
      <c r="AK10" s="5"/>
      <c r="AP10" s="3"/>
      <c r="AQ10" s="4"/>
      <c r="AS10" s="2"/>
      <c r="AV10" s="3"/>
    </row>
    <row r="11" spans="1:48" x14ac:dyDescent="0.25">
      <c r="B11" s="5"/>
      <c r="C11" s="5"/>
      <c r="D11" s="21" t="s">
        <v>6</v>
      </c>
      <c r="E11" s="21" t="s">
        <v>7</v>
      </c>
      <c r="F11" s="21" t="s">
        <v>8</v>
      </c>
      <c r="G11" s="21" t="s">
        <v>9</v>
      </c>
      <c r="H11" s="21" t="s">
        <v>10</v>
      </c>
      <c r="I11" s="21" t="s">
        <v>11</v>
      </c>
      <c r="J11" s="21" t="s">
        <v>12</v>
      </c>
      <c r="K11" s="21" t="s">
        <v>13</v>
      </c>
      <c r="L11" s="21" t="s">
        <v>14</v>
      </c>
      <c r="M11" s="21" t="s">
        <v>15</v>
      </c>
      <c r="N11" s="21" t="s">
        <v>16</v>
      </c>
      <c r="O11" s="21" t="s">
        <v>17</v>
      </c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19"/>
      <c r="AJ11" s="2">
        <f>+IRR(AJ19:AJ31)</f>
        <v>3.1996470191143711E-2</v>
      </c>
      <c r="AK11" s="5"/>
      <c r="AP11" s="5"/>
    </row>
    <row r="12" spans="1:48" x14ac:dyDescent="0.25">
      <c r="A12" t="s">
        <v>93</v>
      </c>
      <c r="B12" s="2">
        <v>0.02</v>
      </c>
      <c r="C12" s="2"/>
      <c r="D12" s="2">
        <f>+B12</f>
        <v>0.02</v>
      </c>
      <c r="E12" s="2">
        <f>+D12</f>
        <v>0.02</v>
      </c>
      <c r="F12" s="2">
        <f t="shared" ref="F12:O12" si="0">+E12</f>
        <v>0.02</v>
      </c>
      <c r="G12" s="2">
        <f t="shared" si="0"/>
        <v>0.02</v>
      </c>
      <c r="H12" s="2">
        <f t="shared" si="0"/>
        <v>0.02</v>
      </c>
      <c r="I12" s="2">
        <f t="shared" si="0"/>
        <v>0.02</v>
      </c>
      <c r="J12" s="2">
        <f t="shared" si="0"/>
        <v>0.02</v>
      </c>
      <c r="K12" s="2">
        <f t="shared" si="0"/>
        <v>0.02</v>
      </c>
      <c r="L12" s="2">
        <f t="shared" si="0"/>
        <v>0.02</v>
      </c>
      <c r="M12" s="2">
        <f t="shared" si="0"/>
        <v>0.02</v>
      </c>
      <c r="N12" s="2">
        <f t="shared" si="0"/>
        <v>0.02</v>
      </c>
      <c r="O12" s="2">
        <f t="shared" si="0"/>
        <v>0.02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H12" s="1" t="s">
        <v>97</v>
      </c>
      <c r="AI12" s="15"/>
      <c r="AJ12" s="11">
        <f>+IRR(AJ19:AJ31)</f>
        <v>3.1996470191143711E-2</v>
      </c>
      <c r="AK12" s="2"/>
      <c r="AL12" s="2"/>
      <c r="AP12" s="5"/>
    </row>
    <row r="13" spans="1:48" x14ac:dyDescent="0.25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H13" s="12" t="s">
        <v>98</v>
      </c>
      <c r="AI13" s="16"/>
      <c r="AJ13" s="13">
        <f>+(1+AJ12)^(12)-1</f>
        <v>0.45927970370301829</v>
      </c>
      <c r="AK13" s="5"/>
      <c r="AL13" s="13"/>
      <c r="AP13" s="5"/>
    </row>
    <row r="14" spans="1:48" x14ac:dyDescent="0.25">
      <c r="A14" t="s">
        <v>107</v>
      </c>
      <c r="B14">
        <v>17700</v>
      </c>
      <c r="E14" s="24">
        <f>+E20-D20</f>
        <v>-30738.208333333256</v>
      </c>
      <c r="F14" s="24">
        <f t="shared" ref="F14:P14" si="1">+F20-E20</f>
        <v>-30738.208333333256</v>
      </c>
      <c r="G14" s="24">
        <f t="shared" si="1"/>
        <v>-30738.208333333256</v>
      </c>
      <c r="H14" s="24">
        <f t="shared" si="1"/>
        <v>-30738.208333333256</v>
      </c>
      <c r="I14" s="24">
        <f t="shared" si="1"/>
        <v>-30738.208333333256</v>
      </c>
      <c r="J14" s="24">
        <f t="shared" si="1"/>
        <v>-30738.208333333256</v>
      </c>
      <c r="K14" s="24">
        <f t="shared" si="1"/>
        <v>-30738.208333333256</v>
      </c>
      <c r="L14" s="24">
        <f t="shared" si="1"/>
        <v>-30738.208333333256</v>
      </c>
      <c r="M14" s="24">
        <f t="shared" si="1"/>
        <v>-30738.208333333256</v>
      </c>
      <c r="N14" s="24">
        <f t="shared" si="1"/>
        <v>-30738.208333333256</v>
      </c>
      <c r="O14" s="24">
        <f t="shared" si="1"/>
        <v>-30738.208333333256</v>
      </c>
      <c r="P14" s="24">
        <f t="shared" si="1"/>
        <v>-30738.208333333256</v>
      </c>
      <c r="AD14" t="s">
        <v>94</v>
      </c>
      <c r="AP14" s="5"/>
    </row>
    <row r="15" spans="1:48" x14ac:dyDescent="0.25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P15" s="5"/>
    </row>
    <row r="16" spans="1:48" x14ac:dyDescent="0.25">
      <c r="D16" s="187" t="s">
        <v>102</v>
      </c>
      <c r="E16" s="187"/>
      <c r="F16" s="187"/>
      <c r="G16" s="187"/>
      <c r="H16" s="187"/>
      <c r="I16" s="187"/>
      <c r="J16" s="187"/>
      <c r="K16" s="187"/>
      <c r="L16" s="187"/>
      <c r="M16" s="187"/>
      <c r="N16" s="187"/>
      <c r="O16" s="187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t="s">
        <v>103</v>
      </c>
      <c r="AD16" s="9" t="s">
        <v>2</v>
      </c>
      <c r="AE16" s="9" t="s">
        <v>3</v>
      </c>
      <c r="AF16" s="9" t="s">
        <v>4</v>
      </c>
      <c r="AG16" s="9" t="s">
        <v>5</v>
      </c>
      <c r="AH16" s="9" t="s">
        <v>107</v>
      </c>
      <c r="AI16" s="17"/>
      <c r="AJ16" s="9" t="s">
        <v>96</v>
      </c>
    </row>
    <row r="17" spans="2:49" s="14" customFormat="1" ht="3" customHeight="1" x14ac:dyDescent="0.25"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D17" s="17"/>
      <c r="AE17" s="17"/>
      <c r="AF17" s="17"/>
      <c r="AG17" s="17"/>
      <c r="AH17" s="17"/>
      <c r="AI17" s="17"/>
      <c r="AJ17" s="17"/>
    </row>
    <row r="18" spans="2:49" x14ac:dyDescent="0.25">
      <c r="B18" s="26" t="s">
        <v>106</v>
      </c>
      <c r="C18" s="26"/>
      <c r="D18" s="21" t="s">
        <v>104</v>
      </c>
      <c r="E18" s="21" t="s">
        <v>6</v>
      </c>
      <c r="F18" s="21" t="s">
        <v>7</v>
      </c>
      <c r="G18" s="21" t="s">
        <v>8</v>
      </c>
      <c r="H18" s="21" t="s">
        <v>9</v>
      </c>
      <c r="I18" s="21" t="s">
        <v>10</v>
      </c>
      <c r="J18" s="21" t="s">
        <v>11</v>
      </c>
      <c r="K18" s="21" t="s">
        <v>12</v>
      </c>
      <c r="L18" s="21" t="s">
        <v>13</v>
      </c>
      <c r="M18" s="21" t="s">
        <v>14</v>
      </c>
      <c r="N18" s="21" t="s">
        <v>15</v>
      </c>
      <c r="O18" s="21" t="s">
        <v>16</v>
      </c>
      <c r="P18" s="21" t="s">
        <v>17</v>
      </c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6"/>
      <c r="AB18" s="6"/>
      <c r="AC18" s="6"/>
      <c r="AG18" s="5"/>
      <c r="AP18" s="6"/>
      <c r="AT18" s="5"/>
    </row>
    <row r="19" spans="2:49" x14ac:dyDescent="0.25">
      <c r="D19" s="25">
        <f>+SUM(D20:D32)</f>
        <v>1475434</v>
      </c>
      <c r="E19" s="25">
        <f t="shared" ref="E19:N19" si="2">+SUM(E20:E31)</f>
        <v>1475434</v>
      </c>
      <c r="F19" s="25">
        <f t="shared" si="2"/>
        <v>1475434</v>
      </c>
      <c r="G19" s="25">
        <f t="shared" si="2"/>
        <v>1475434</v>
      </c>
      <c r="H19" s="25">
        <f t="shared" si="2"/>
        <v>1475434</v>
      </c>
      <c r="I19" s="25">
        <f t="shared" si="2"/>
        <v>1475434</v>
      </c>
      <c r="J19" s="25">
        <f t="shared" si="2"/>
        <v>1475434</v>
      </c>
      <c r="K19" s="25">
        <f t="shared" si="2"/>
        <v>1475434</v>
      </c>
      <c r="L19" s="25">
        <f t="shared" si="2"/>
        <v>1475434</v>
      </c>
      <c r="M19" s="25">
        <f t="shared" si="2"/>
        <v>1475434</v>
      </c>
      <c r="N19" s="25">
        <f t="shared" si="2"/>
        <v>1475434</v>
      </c>
      <c r="O19" s="25">
        <f>+SUM(O20:O31)</f>
        <v>1475434</v>
      </c>
      <c r="P19" s="25">
        <f>+SUM(P20:P32)</f>
        <v>1475434</v>
      </c>
      <c r="AA19" s="8">
        <v>12</v>
      </c>
      <c r="AB19" s="3">
        <f>+AG19</f>
        <v>1475434</v>
      </c>
      <c r="AD19" s="7">
        <v>0</v>
      </c>
      <c r="AE19" s="3"/>
      <c r="AF19" s="5"/>
      <c r="AG19" s="5">
        <f t="array" ref="AG19:AG31">+TRANSPOSE(D19:P19)</f>
        <v>1475434</v>
      </c>
      <c r="AH19" s="3"/>
      <c r="AI19" s="18"/>
      <c r="AJ19" s="3">
        <f>+AG19</f>
        <v>1475434</v>
      </c>
      <c r="AM19" s="5"/>
      <c r="AO19" s="5"/>
      <c r="AP19" s="6"/>
      <c r="AQ19" s="7"/>
      <c r="AR19" s="3"/>
      <c r="AS19" s="5"/>
      <c r="AT19" s="5"/>
      <c r="AU19" s="3"/>
      <c r="AV19" s="3"/>
      <c r="AW19" s="5"/>
    </row>
    <row r="20" spans="2:49" x14ac:dyDescent="0.25">
      <c r="B20" s="6" t="s">
        <v>104</v>
      </c>
      <c r="C20" s="6"/>
      <c r="D20" s="8">
        <f>+B5</f>
        <v>1475434</v>
      </c>
      <c r="E20" s="3">
        <f t="shared" ref="E20:P20" si="3">+D20-$D$20/48</f>
        <v>1444695.7916666667</v>
      </c>
      <c r="F20" s="3">
        <f t="shared" si="3"/>
        <v>1413957.5833333335</v>
      </c>
      <c r="G20" s="3">
        <f t="shared" si="3"/>
        <v>1383219.3750000002</v>
      </c>
      <c r="H20" s="3">
        <f t="shared" si="3"/>
        <v>1352481.166666667</v>
      </c>
      <c r="I20" s="3">
        <f t="shared" si="3"/>
        <v>1321742.9583333337</v>
      </c>
      <c r="J20" s="3">
        <f t="shared" si="3"/>
        <v>1291004.7500000005</v>
      </c>
      <c r="K20" s="3">
        <f t="shared" si="3"/>
        <v>1260266.5416666672</v>
      </c>
      <c r="L20" s="3">
        <f t="shared" si="3"/>
        <v>1229528.333333334</v>
      </c>
      <c r="M20" s="3">
        <f t="shared" si="3"/>
        <v>1198790.1250000007</v>
      </c>
      <c r="N20" s="3">
        <f t="shared" si="3"/>
        <v>1168051.9166666674</v>
      </c>
      <c r="O20" s="3">
        <f t="shared" si="3"/>
        <v>1137313.7083333342</v>
      </c>
      <c r="P20" s="3">
        <f t="shared" si="3"/>
        <v>1106575.5000000009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6"/>
      <c r="AB20" s="5">
        <f>-AF20-AE20</f>
        <v>-60246.888333333256</v>
      </c>
      <c r="AC20" s="6" t="s">
        <v>6</v>
      </c>
      <c r="AD20" s="31">
        <f>+-AF20-AE20+AF20</f>
        <v>-29508.68</v>
      </c>
      <c r="AE20" s="3">
        <f t="array" ref="AE20:AE31">+TRANSPOSE(E53:P53)</f>
        <v>29508.68</v>
      </c>
      <c r="AF20" s="5">
        <f t="array" ref="AF20:AF31">+-TRANSPOSE(E35:P35)</f>
        <v>30738.208333333256</v>
      </c>
      <c r="AG20" s="5">
        <v>1475434</v>
      </c>
      <c r="AH20" s="3">
        <f>+-$B$14</f>
        <v>-17700</v>
      </c>
      <c r="AI20" s="18"/>
      <c r="AJ20" s="10">
        <f>+AD20+AH20</f>
        <v>-47208.68</v>
      </c>
      <c r="AK20" s="30">
        <f>+AE20/AG19</f>
        <v>0.02</v>
      </c>
      <c r="AM20" s="3"/>
      <c r="AO20" s="3"/>
      <c r="AP20" s="6"/>
      <c r="AQ20" s="7"/>
      <c r="AR20" s="3"/>
      <c r="AS20" s="5"/>
      <c r="AT20" s="5"/>
      <c r="AU20" s="3"/>
      <c r="AV20" s="3"/>
      <c r="AW20" s="5"/>
    </row>
    <row r="21" spans="2:49" x14ac:dyDescent="0.25">
      <c r="B21" s="6" t="s">
        <v>6</v>
      </c>
      <c r="C21" s="6"/>
      <c r="D21" s="6"/>
      <c r="E21" s="3">
        <f>+D20-E20</f>
        <v>30738.208333333256</v>
      </c>
      <c r="F21" s="3">
        <f t="shared" ref="F21:P21" si="4">+E21-$E$21/48</f>
        <v>30097.828993055478</v>
      </c>
      <c r="G21" s="3">
        <f t="shared" si="4"/>
        <v>29457.449652777701</v>
      </c>
      <c r="H21" s="3">
        <f t="shared" si="4"/>
        <v>28817.070312499924</v>
      </c>
      <c r="I21" s="3">
        <f t="shared" si="4"/>
        <v>28176.690972222146</v>
      </c>
      <c r="J21" s="3">
        <f t="shared" si="4"/>
        <v>27536.311631944369</v>
      </c>
      <c r="K21" s="3">
        <f t="shared" si="4"/>
        <v>26895.932291666591</v>
      </c>
      <c r="L21" s="3">
        <f t="shared" si="4"/>
        <v>26255.552951388814</v>
      </c>
      <c r="M21" s="3">
        <f t="shared" si="4"/>
        <v>25615.173611111037</v>
      </c>
      <c r="N21" s="3">
        <f t="shared" si="4"/>
        <v>24974.794270833259</v>
      </c>
      <c r="O21" s="3">
        <f t="shared" si="4"/>
        <v>24334.414930555482</v>
      </c>
      <c r="P21" s="3">
        <f t="shared" si="4"/>
        <v>23694.035590277705</v>
      </c>
      <c r="Q21" s="3">
        <f t="shared" ref="Q21" si="5">+P21-$E$21/12</f>
        <v>21132.518229166599</v>
      </c>
      <c r="R21" s="3"/>
      <c r="S21" s="3"/>
      <c r="T21" s="3"/>
      <c r="U21" s="3"/>
      <c r="V21" s="3"/>
      <c r="W21" s="3"/>
      <c r="X21" s="3"/>
      <c r="Y21" s="3"/>
      <c r="Z21" s="3"/>
      <c r="AA21" s="6"/>
      <c r="AB21" s="5">
        <f t="shared" ref="AB21:AB31" si="6">-AF21-AE21</f>
        <v>-60887.26767361103</v>
      </c>
      <c r="AC21" s="6" t="s">
        <v>7</v>
      </c>
      <c r="AD21" s="31">
        <f>+-AF21-AE21+AF21</f>
        <v>-29508.679999999997</v>
      </c>
      <c r="AE21" s="3">
        <v>29508.68</v>
      </c>
      <c r="AF21" s="5">
        <v>31378.587673611033</v>
      </c>
      <c r="AG21" s="5">
        <v>1475434</v>
      </c>
      <c r="AH21" s="3">
        <f t="shared" ref="AH21:AH31" si="7">+-$B$14</f>
        <v>-17700</v>
      </c>
      <c r="AI21" s="18"/>
      <c r="AJ21" s="10">
        <f t="shared" ref="AJ21:AJ31" si="8">+AD21+AH21</f>
        <v>-47208.679999999993</v>
      </c>
      <c r="AK21" s="30">
        <f t="shared" ref="AK21:AK30" si="9">+AE21/AG20</f>
        <v>0.02</v>
      </c>
      <c r="AO21" s="3"/>
      <c r="AP21" s="6"/>
      <c r="AQ21" s="7"/>
      <c r="AR21" s="3"/>
      <c r="AS21" s="5"/>
      <c r="AT21" s="5"/>
      <c r="AU21" s="3"/>
      <c r="AV21" s="3"/>
      <c r="AW21" s="5"/>
    </row>
    <row r="22" spans="2:49" x14ac:dyDescent="0.25">
      <c r="B22" s="6" t="s">
        <v>7</v>
      </c>
      <c r="C22" s="6"/>
      <c r="D22" s="6"/>
      <c r="E22" s="6"/>
      <c r="F22" s="5">
        <f>+SUM(E20:E21)-SUM(F20:F21)</f>
        <v>31378.587673611008</v>
      </c>
      <c r="G22" s="3">
        <f t="shared" ref="G22:P22" si="10">+F22-$F$22/48</f>
        <v>30724.867097077444</v>
      </c>
      <c r="H22" s="3">
        <f t="shared" si="10"/>
        <v>30071.14652054388</v>
      </c>
      <c r="I22" s="3">
        <f t="shared" si="10"/>
        <v>29417.425944010316</v>
      </c>
      <c r="J22" s="3">
        <f t="shared" si="10"/>
        <v>28763.705367476752</v>
      </c>
      <c r="K22" s="3">
        <f t="shared" si="10"/>
        <v>28109.984790943188</v>
      </c>
      <c r="L22" s="3">
        <f t="shared" si="10"/>
        <v>27456.264214409624</v>
      </c>
      <c r="M22" s="3">
        <f t="shared" si="10"/>
        <v>26802.543637876061</v>
      </c>
      <c r="N22" s="3">
        <f t="shared" si="10"/>
        <v>26148.823061342497</v>
      </c>
      <c r="O22" s="3">
        <f t="shared" si="10"/>
        <v>25495.102484808933</v>
      </c>
      <c r="P22" s="3">
        <f t="shared" si="10"/>
        <v>24841.381908275369</v>
      </c>
      <c r="Q22" s="3">
        <f t="shared" ref="Q22:R22" si="11">+P22-$F$22/12</f>
        <v>22226.499602141117</v>
      </c>
      <c r="R22" s="3">
        <f t="shared" si="11"/>
        <v>19611.617296006865</v>
      </c>
      <c r="S22" s="3"/>
      <c r="T22" s="3"/>
      <c r="U22" s="3"/>
      <c r="V22" s="3"/>
      <c r="W22" s="3"/>
      <c r="X22" s="3"/>
      <c r="Y22" s="3"/>
      <c r="Z22" s="3"/>
      <c r="AA22" s="6"/>
      <c r="AB22" s="5">
        <f t="shared" si="6"/>
        <v>-61540.988250144597</v>
      </c>
      <c r="AC22" s="6" t="s">
        <v>8</v>
      </c>
      <c r="AD22" s="31">
        <f t="shared" ref="AD22:AD30" si="12">+-AF22-AE22+AF22</f>
        <v>-29508.68</v>
      </c>
      <c r="AE22" s="3">
        <v>29508.68</v>
      </c>
      <c r="AF22" s="5">
        <v>32032.308250144597</v>
      </c>
      <c r="AG22" s="5">
        <v>1475434</v>
      </c>
      <c r="AH22" s="3">
        <f t="shared" si="7"/>
        <v>-17700</v>
      </c>
      <c r="AI22" s="18"/>
      <c r="AJ22" s="10">
        <f t="shared" si="8"/>
        <v>-47208.68</v>
      </c>
      <c r="AK22" s="30">
        <f t="shared" si="9"/>
        <v>0.02</v>
      </c>
      <c r="AO22" s="3"/>
      <c r="AP22" s="6"/>
      <c r="AQ22" s="7"/>
      <c r="AR22" s="3"/>
      <c r="AS22" s="5"/>
      <c r="AT22" s="5"/>
      <c r="AU22" s="3"/>
      <c r="AV22" s="3"/>
      <c r="AW22" s="5"/>
    </row>
    <row r="23" spans="2:49" x14ac:dyDescent="0.25">
      <c r="B23" s="6" t="s">
        <v>8</v>
      </c>
      <c r="C23" s="6"/>
      <c r="D23" s="6"/>
      <c r="E23" s="6"/>
      <c r="F23" s="6"/>
      <c r="G23" s="5">
        <f>+SUM(F20:F22)-SUM(G20:G22)</f>
        <v>32032.30825014459</v>
      </c>
      <c r="H23" s="3">
        <f t="shared" ref="H23:P23" si="13">+G23-$G$23/48</f>
        <v>31364.968494933244</v>
      </c>
      <c r="I23" s="3">
        <f t="shared" si="13"/>
        <v>30697.628739721898</v>
      </c>
      <c r="J23" s="3">
        <f t="shared" si="13"/>
        <v>30030.288984510553</v>
      </c>
      <c r="K23" s="3">
        <f t="shared" si="13"/>
        <v>29362.949229299207</v>
      </c>
      <c r="L23" s="3">
        <f t="shared" si="13"/>
        <v>28695.609474087862</v>
      </c>
      <c r="M23" s="3">
        <f t="shared" si="13"/>
        <v>28028.269718876516</v>
      </c>
      <c r="N23" s="3">
        <f t="shared" si="13"/>
        <v>27360.92996366517</v>
      </c>
      <c r="O23" s="3">
        <f t="shared" si="13"/>
        <v>26693.590208453825</v>
      </c>
      <c r="P23" s="3">
        <f t="shared" si="13"/>
        <v>26026.250453242479</v>
      </c>
      <c r="Q23" s="3">
        <f t="shared" ref="Q23:S23" si="14">+P23-$G$23/12</f>
        <v>23356.891432397097</v>
      </c>
      <c r="R23" s="3">
        <f t="shared" si="14"/>
        <v>20687.532411551714</v>
      </c>
      <c r="S23" s="3">
        <f t="shared" si="14"/>
        <v>18018.173390706332</v>
      </c>
      <c r="T23" s="6"/>
      <c r="U23" s="6"/>
      <c r="V23" s="6"/>
      <c r="W23" s="6"/>
      <c r="X23" s="6"/>
      <c r="Y23" s="6"/>
      <c r="Z23" s="6"/>
      <c r="AA23" s="6"/>
      <c r="AB23" s="5">
        <f t="shared" si="6"/>
        <v>-62208.328005355943</v>
      </c>
      <c r="AC23" s="6" t="s">
        <v>9</v>
      </c>
      <c r="AD23" s="31">
        <f t="shared" si="12"/>
        <v>-29508.68</v>
      </c>
      <c r="AE23" s="3">
        <v>29508.68</v>
      </c>
      <c r="AF23" s="5">
        <v>32699.648005355943</v>
      </c>
      <c r="AG23" s="5">
        <v>1475434</v>
      </c>
      <c r="AH23" s="3">
        <f t="shared" si="7"/>
        <v>-17700</v>
      </c>
      <c r="AI23" s="18"/>
      <c r="AJ23" s="10">
        <f t="shared" si="8"/>
        <v>-47208.68</v>
      </c>
      <c r="AK23" s="30">
        <f t="shared" si="9"/>
        <v>0.02</v>
      </c>
      <c r="AP23" s="6"/>
      <c r="AQ23" s="7"/>
      <c r="AR23" s="3"/>
      <c r="AS23" s="5"/>
      <c r="AT23" s="5"/>
      <c r="AU23" s="3"/>
      <c r="AV23" s="3"/>
      <c r="AW23" s="5"/>
    </row>
    <row r="24" spans="2:49" x14ac:dyDescent="0.25">
      <c r="B24" s="6" t="s">
        <v>9</v>
      </c>
      <c r="C24" s="6"/>
      <c r="D24" s="6"/>
      <c r="E24" s="6"/>
      <c r="F24" s="6"/>
      <c r="G24" s="6"/>
      <c r="H24" s="5">
        <f>+SUM(G20:G23)-SUM(H20:H23)</f>
        <v>32699.648005355848</v>
      </c>
      <c r="I24" s="3">
        <f t="shared" ref="I24:P24" si="15">+H24-$H$24/48</f>
        <v>32018.405338577602</v>
      </c>
      <c r="J24" s="3">
        <f t="shared" si="15"/>
        <v>31337.162671799357</v>
      </c>
      <c r="K24" s="3">
        <f t="shared" si="15"/>
        <v>30655.920005021111</v>
      </c>
      <c r="L24" s="3">
        <f t="shared" si="15"/>
        <v>29974.677338242866</v>
      </c>
      <c r="M24" s="3">
        <f t="shared" si="15"/>
        <v>29293.43467146462</v>
      </c>
      <c r="N24" s="3">
        <f t="shared" si="15"/>
        <v>28612.192004686374</v>
      </c>
      <c r="O24" s="3">
        <f t="shared" si="15"/>
        <v>27930.949337908129</v>
      </c>
      <c r="P24" s="3">
        <f t="shared" si="15"/>
        <v>27249.706671129883</v>
      </c>
      <c r="Q24" s="3">
        <f t="shared" ref="Q24:T24" si="16">+P24-$H$24/12</f>
        <v>24524.736004016897</v>
      </c>
      <c r="R24" s="3">
        <f t="shared" si="16"/>
        <v>21799.765336903911</v>
      </c>
      <c r="S24" s="3">
        <f t="shared" si="16"/>
        <v>19074.794669790925</v>
      </c>
      <c r="T24" s="3">
        <f t="shared" si="16"/>
        <v>16349.824002677937</v>
      </c>
      <c r="U24" s="6"/>
      <c r="V24" s="6"/>
      <c r="W24" s="6"/>
      <c r="X24" s="6"/>
      <c r="Y24" s="6"/>
      <c r="Z24" s="6"/>
      <c r="AA24" s="6"/>
      <c r="AB24" s="5">
        <f t="shared" si="6"/>
        <v>-62889.570672134192</v>
      </c>
      <c r="AC24" s="6" t="s">
        <v>10</v>
      </c>
      <c r="AD24" s="31">
        <f t="shared" si="12"/>
        <v>-29508.68</v>
      </c>
      <c r="AE24" s="3">
        <v>29508.68</v>
      </c>
      <c r="AF24" s="5">
        <v>33380.890672134192</v>
      </c>
      <c r="AG24" s="5">
        <v>1475434</v>
      </c>
      <c r="AH24" s="3">
        <f t="shared" si="7"/>
        <v>-17700</v>
      </c>
      <c r="AI24" s="18"/>
      <c r="AJ24" s="10">
        <f t="shared" si="8"/>
        <v>-47208.68</v>
      </c>
      <c r="AK24" s="30">
        <f t="shared" si="9"/>
        <v>0.02</v>
      </c>
      <c r="AP24" s="6"/>
      <c r="AQ24" s="7"/>
      <c r="AR24" s="3"/>
      <c r="AS24" s="5"/>
      <c r="AT24" s="5"/>
      <c r="AU24" s="3"/>
      <c r="AV24" s="3"/>
      <c r="AW24" s="5"/>
    </row>
    <row r="25" spans="2:49" x14ac:dyDescent="0.25">
      <c r="B25" s="6" t="s">
        <v>10</v>
      </c>
      <c r="C25" s="6"/>
      <c r="D25" s="6"/>
      <c r="E25" s="6"/>
      <c r="F25" s="6"/>
      <c r="G25" s="6"/>
      <c r="H25" s="6"/>
      <c r="I25" s="5">
        <f>+SUM(H20:H24)-SUM(I20:I24)</f>
        <v>33380.890672134236</v>
      </c>
      <c r="J25" s="3">
        <f t="shared" ref="J25:P25" si="17">+I25-$I$25/48</f>
        <v>32685.455449798104</v>
      </c>
      <c r="K25" s="3">
        <f t="shared" si="17"/>
        <v>31990.020227461973</v>
      </c>
      <c r="L25" s="3">
        <f t="shared" si="17"/>
        <v>31294.585005125842</v>
      </c>
      <c r="M25" s="3">
        <f t="shared" si="17"/>
        <v>30599.149782789711</v>
      </c>
      <c r="N25" s="3">
        <f t="shared" si="17"/>
        <v>29903.71456045358</v>
      </c>
      <c r="O25" s="3">
        <f t="shared" si="17"/>
        <v>29208.279338117449</v>
      </c>
      <c r="P25" s="3">
        <f t="shared" si="17"/>
        <v>28512.844115781318</v>
      </c>
      <c r="Q25" s="3">
        <f t="shared" ref="Q25:U25" si="18">+P25-$I$25/12</f>
        <v>25731.103226436797</v>
      </c>
      <c r="R25" s="3">
        <f t="shared" si="18"/>
        <v>22949.362337092276</v>
      </c>
      <c r="S25" s="3">
        <f t="shared" si="18"/>
        <v>20167.621447747755</v>
      </c>
      <c r="T25" s="3">
        <f t="shared" si="18"/>
        <v>17385.880558403234</v>
      </c>
      <c r="U25" s="3">
        <f t="shared" si="18"/>
        <v>14604.139669058715</v>
      </c>
      <c r="V25" s="6"/>
      <c r="W25" s="6"/>
      <c r="X25" s="6"/>
      <c r="Y25" s="6"/>
      <c r="Z25" s="6"/>
      <c r="AA25" s="6"/>
      <c r="AB25" s="5">
        <f t="shared" si="6"/>
        <v>-63585.005894470327</v>
      </c>
      <c r="AC25" s="6" t="s">
        <v>11</v>
      </c>
      <c r="AD25" s="31">
        <f t="shared" si="12"/>
        <v>-29508.68</v>
      </c>
      <c r="AE25" s="3">
        <v>29508.68</v>
      </c>
      <c r="AF25" s="5">
        <v>34076.325894470327</v>
      </c>
      <c r="AG25" s="5">
        <v>1475434</v>
      </c>
      <c r="AH25" s="3">
        <f t="shared" si="7"/>
        <v>-17700</v>
      </c>
      <c r="AI25" s="18"/>
      <c r="AJ25" s="10">
        <f t="shared" si="8"/>
        <v>-47208.68</v>
      </c>
      <c r="AK25" s="30">
        <f t="shared" si="9"/>
        <v>0.02</v>
      </c>
      <c r="AP25" s="6"/>
      <c r="AQ25" s="7"/>
      <c r="AR25" s="3"/>
      <c r="AS25" s="5"/>
      <c r="AT25" s="5"/>
      <c r="AU25" s="3"/>
      <c r="AV25" s="3"/>
      <c r="AW25" s="5"/>
    </row>
    <row r="26" spans="2:49" x14ac:dyDescent="0.25">
      <c r="B26" s="6" t="s">
        <v>11</v>
      </c>
      <c r="C26" s="6"/>
      <c r="D26" s="6"/>
      <c r="E26" s="6"/>
      <c r="F26" s="6"/>
      <c r="G26" s="6"/>
      <c r="H26" s="6"/>
      <c r="I26" s="6"/>
      <c r="J26" s="5">
        <f>+SUM(I20:I25)-SUM(J20:J25)</f>
        <v>34076.325894470559</v>
      </c>
      <c r="K26" s="3">
        <f t="shared" ref="K26:P26" si="19">+J26-$J$26/48</f>
        <v>33366.402438335754</v>
      </c>
      <c r="L26" s="3">
        <f t="shared" si="19"/>
        <v>32656.478982200952</v>
      </c>
      <c r="M26" s="3">
        <f t="shared" si="19"/>
        <v>31946.555526066149</v>
      </c>
      <c r="N26" s="3">
        <f t="shared" si="19"/>
        <v>31236.632069931347</v>
      </c>
      <c r="O26" s="3">
        <f t="shared" si="19"/>
        <v>30526.708613796545</v>
      </c>
      <c r="P26" s="3">
        <f t="shared" si="19"/>
        <v>29816.785157661743</v>
      </c>
      <c r="Q26" s="3">
        <f t="shared" ref="Q26:V26" si="20">+P26-$J$26/12</f>
        <v>26977.091333122531</v>
      </c>
      <c r="R26" s="3">
        <f t="shared" si="20"/>
        <v>24137.397508583319</v>
      </c>
      <c r="S26" s="3">
        <f t="shared" si="20"/>
        <v>21297.703684044107</v>
      </c>
      <c r="T26" s="3">
        <f t="shared" si="20"/>
        <v>18458.009859504895</v>
      </c>
      <c r="U26" s="3">
        <f t="shared" si="20"/>
        <v>15618.316034965681</v>
      </c>
      <c r="V26" s="3">
        <f t="shared" si="20"/>
        <v>12778.622210426467</v>
      </c>
      <c r="W26" s="6"/>
      <c r="X26" s="6"/>
      <c r="Y26" s="6"/>
      <c r="Z26" s="6"/>
      <c r="AA26" s="6"/>
      <c r="AB26" s="5">
        <f t="shared" si="6"/>
        <v>-64294.929350605133</v>
      </c>
      <c r="AC26" s="6" t="s">
        <v>12</v>
      </c>
      <c r="AD26" s="31">
        <f t="shared" si="12"/>
        <v>-29508.68</v>
      </c>
      <c r="AE26" s="3">
        <v>29508.68</v>
      </c>
      <c r="AF26" s="5">
        <v>34786.249350605132</v>
      </c>
      <c r="AG26" s="5">
        <v>1475434</v>
      </c>
      <c r="AH26" s="3">
        <f t="shared" si="7"/>
        <v>-17700</v>
      </c>
      <c r="AI26" s="18"/>
      <c r="AJ26" s="10">
        <f t="shared" si="8"/>
        <v>-47208.68</v>
      </c>
      <c r="AK26" s="30">
        <f t="shared" si="9"/>
        <v>0.02</v>
      </c>
      <c r="AP26" s="6"/>
      <c r="AQ26" s="7"/>
      <c r="AR26" s="3"/>
      <c r="AS26" s="5"/>
      <c r="AT26" s="5"/>
      <c r="AU26" s="3"/>
      <c r="AV26" s="3"/>
      <c r="AW26" s="5"/>
    </row>
    <row r="27" spans="2:49" x14ac:dyDescent="0.25">
      <c r="B27" s="6" t="s">
        <v>12</v>
      </c>
      <c r="C27" s="6"/>
      <c r="D27" s="6"/>
      <c r="E27" s="6"/>
      <c r="F27" s="6"/>
      <c r="G27" s="6"/>
      <c r="H27" s="6"/>
      <c r="I27" s="6"/>
      <c r="J27" s="6"/>
      <c r="K27" s="5">
        <f>+SUM(J20:J26)-SUM(K20:K26)</f>
        <v>34786.249350604834</v>
      </c>
      <c r="L27" s="3">
        <f>+K27-$K$27/48</f>
        <v>34061.535822467231</v>
      </c>
      <c r="M27" s="3">
        <f>+L27-$K$27/48</f>
        <v>33336.822294329628</v>
      </c>
      <c r="N27" s="3">
        <f>+M27-$K$27/48</f>
        <v>32612.108766192028</v>
      </c>
      <c r="O27" s="3">
        <f>+N27-$K$27/48</f>
        <v>31887.395238054429</v>
      </c>
      <c r="P27" s="3">
        <f>+O27-$K$27/48</f>
        <v>31162.681709916829</v>
      </c>
      <c r="Q27" s="3">
        <f t="shared" ref="Q27:W27" si="21">+P27-$K$27/12</f>
        <v>28263.827597366428</v>
      </c>
      <c r="R27" s="3">
        <f t="shared" si="21"/>
        <v>25364.973484816026</v>
      </c>
      <c r="S27" s="3">
        <f t="shared" si="21"/>
        <v>22466.119372265624</v>
      </c>
      <c r="T27" s="3">
        <f t="shared" si="21"/>
        <v>19567.265259715223</v>
      </c>
      <c r="U27" s="3">
        <f t="shared" si="21"/>
        <v>16668.411147164821</v>
      </c>
      <c r="V27" s="3">
        <f t="shared" si="21"/>
        <v>13769.557034614418</v>
      </c>
      <c r="W27" s="3">
        <f t="shared" si="21"/>
        <v>10870.702922064014</v>
      </c>
      <c r="X27" s="6"/>
      <c r="Y27" s="6"/>
      <c r="Z27" s="6"/>
      <c r="AA27" s="6"/>
      <c r="AB27" s="5">
        <f t="shared" si="6"/>
        <v>-65019.642878742728</v>
      </c>
      <c r="AC27" s="6" t="s">
        <v>13</v>
      </c>
      <c r="AD27" s="31">
        <f t="shared" si="12"/>
        <v>-29508.68</v>
      </c>
      <c r="AE27" s="3">
        <v>29508.68</v>
      </c>
      <c r="AF27" s="5">
        <v>35510.962878742728</v>
      </c>
      <c r="AG27" s="5">
        <v>1475434</v>
      </c>
      <c r="AH27" s="3">
        <f t="shared" si="7"/>
        <v>-17700</v>
      </c>
      <c r="AI27" s="18"/>
      <c r="AJ27" s="10">
        <f t="shared" si="8"/>
        <v>-47208.68</v>
      </c>
      <c r="AK27" s="30">
        <f t="shared" si="9"/>
        <v>0.02</v>
      </c>
      <c r="AP27" s="6"/>
      <c r="AQ27" s="7"/>
      <c r="AR27" s="3"/>
      <c r="AS27" s="5"/>
      <c r="AT27" s="5"/>
      <c r="AU27" s="3"/>
      <c r="AV27" s="3"/>
      <c r="AW27" s="5"/>
    </row>
    <row r="28" spans="2:49" x14ac:dyDescent="0.25">
      <c r="B28" s="6" t="s">
        <v>13</v>
      </c>
      <c r="C28" s="6"/>
      <c r="D28" s="6"/>
      <c r="E28" s="6"/>
      <c r="F28" s="6"/>
      <c r="G28" s="6"/>
      <c r="H28" s="6"/>
      <c r="I28" s="6"/>
      <c r="J28" s="6"/>
      <c r="K28" s="6"/>
      <c r="L28" s="5">
        <f>+SUM(K20:K27)-SUM(L20:L27)</f>
        <v>35510.962878743419</v>
      </c>
      <c r="M28" s="3">
        <f>+L28-$L$28/48</f>
        <v>34771.151152102932</v>
      </c>
      <c r="N28" s="3">
        <f>+M28-$L$28/48</f>
        <v>34031.339425462444</v>
      </c>
      <c r="O28" s="3">
        <f>+N28-$L$28/48</f>
        <v>33291.527698821956</v>
      </c>
      <c r="P28" s="3">
        <f>+O28-$L$28/48</f>
        <v>32551.715972181468</v>
      </c>
      <c r="Q28" s="3">
        <f t="shared" ref="Q28:W28" si="22">+P28-$L$28/12</f>
        <v>29592.469065619516</v>
      </c>
      <c r="R28" s="3">
        <f t="shared" si="22"/>
        <v>26633.222159057565</v>
      </c>
      <c r="S28" s="3">
        <f t="shared" si="22"/>
        <v>23673.975252495613</v>
      </c>
      <c r="T28" s="3">
        <f t="shared" si="22"/>
        <v>20714.728345933661</v>
      </c>
      <c r="U28" s="3">
        <f t="shared" si="22"/>
        <v>17755.48143937171</v>
      </c>
      <c r="V28" s="3">
        <f t="shared" si="22"/>
        <v>14796.234532809758</v>
      </c>
      <c r="W28" s="3">
        <f t="shared" si="22"/>
        <v>11836.987626247806</v>
      </c>
      <c r="X28" s="3">
        <f>+W28-$L$28/12</f>
        <v>8877.7407196858549</v>
      </c>
      <c r="Y28" s="6"/>
      <c r="Z28" s="6"/>
      <c r="AA28" s="6"/>
      <c r="AB28" s="5">
        <f t="shared" si="6"/>
        <v>-65759.454605383216</v>
      </c>
      <c r="AC28" s="6" t="s">
        <v>14</v>
      </c>
      <c r="AD28" s="31">
        <f t="shared" si="12"/>
        <v>-29508.68</v>
      </c>
      <c r="AE28" s="3">
        <v>29508.68</v>
      </c>
      <c r="AF28" s="5">
        <v>36250.774605383216</v>
      </c>
      <c r="AG28" s="5">
        <v>1475434</v>
      </c>
      <c r="AH28" s="3">
        <f t="shared" si="7"/>
        <v>-17700</v>
      </c>
      <c r="AI28" s="18"/>
      <c r="AJ28" s="10">
        <f t="shared" si="8"/>
        <v>-47208.68</v>
      </c>
      <c r="AK28" s="30">
        <f t="shared" si="9"/>
        <v>0.02</v>
      </c>
      <c r="AP28" s="6"/>
      <c r="AQ28" s="7"/>
      <c r="AR28" s="3"/>
      <c r="AS28" s="5"/>
      <c r="AT28" s="5"/>
      <c r="AU28" s="3"/>
      <c r="AV28" s="3"/>
      <c r="AW28" s="5"/>
    </row>
    <row r="29" spans="2:49" x14ac:dyDescent="0.25">
      <c r="B29" s="6" t="s">
        <v>14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5">
        <f>+SUM(L20:L28)-SUM(M20:M28)</f>
        <v>36250.7746053827</v>
      </c>
      <c r="N29" s="3">
        <f>+M29-$M$29/48</f>
        <v>35495.550134437224</v>
      </c>
      <c r="O29" s="3">
        <f>+N29-$M$29/48</f>
        <v>34740.325663491749</v>
      </c>
      <c r="P29" s="3">
        <f>+O29-$M$29/48</f>
        <v>33985.101192546274</v>
      </c>
      <c r="Q29" s="3">
        <f t="shared" ref="Q29:Y29" si="23">+P29-$M$29/12</f>
        <v>30964.203308764383</v>
      </c>
      <c r="R29" s="3">
        <f t="shared" si="23"/>
        <v>27943.305424982493</v>
      </c>
      <c r="S29" s="3">
        <f t="shared" si="23"/>
        <v>24922.407541200602</v>
      </c>
      <c r="T29" s="3">
        <f t="shared" si="23"/>
        <v>21901.509657418712</v>
      </c>
      <c r="U29" s="3">
        <f t="shared" si="23"/>
        <v>18880.611773636821</v>
      </c>
      <c r="V29" s="3">
        <f t="shared" si="23"/>
        <v>15859.713889854929</v>
      </c>
      <c r="W29" s="3">
        <f t="shared" si="23"/>
        <v>12838.816006073037</v>
      </c>
      <c r="X29" s="3">
        <f t="shared" si="23"/>
        <v>9817.9181222911448</v>
      </c>
      <c r="Y29" s="3">
        <f t="shared" si="23"/>
        <v>6797.0202385092525</v>
      </c>
      <c r="Z29" s="6"/>
      <c r="AA29" s="6"/>
      <c r="AB29" s="5">
        <f t="shared" si="6"/>
        <v>-66514.679076328684</v>
      </c>
      <c r="AC29" s="6" t="s">
        <v>15</v>
      </c>
      <c r="AD29" s="31">
        <f t="shared" si="12"/>
        <v>-29508.68</v>
      </c>
      <c r="AE29" s="3">
        <v>29508.68</v>
      </c>
      <c r="AF29" s="5">
        <v>37005.999076328684</v>
      </c>
      <c r="AG29" s="5">
        <v>1475434</v>
      </c>
      <c r="AH29" s="3">
        <f t="shared" si="7"/>
        <v>-17700</v>
      </c>
      <c r="AI29" s="18"/>
      <c r="AJ29" s="10">
        <f t="shared" si="8"/>
        <v>-47208.68</v>
      </c>
      <c r="AK29" s="30">
        <f t="shared" si="9"/>
        <v>0.02</v>
      </c>
      <c r="AP29" s="6"/>
      <c r="AQ29" s="7"/>
      <c r="AR29" s="3"/>
      <c r="AS29" s="5"/>
      <c r="AT29" s="5"/>
      <c r="AU29" s="3"/>
      <c r="AV29" s="3"/>
      <c r="AW29" s="5"/>
    </row>
    <row r="30" spans="2:49" x14ac:dyDescent="0.25">
      <c r="B30" s="6" t="s">
        <v>15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5">
        <f>+SUM(M20:M29)-SUM(N20:N29)</f>
        <v>37005.999076328473</v>
      </c>
      <c r="O30" s="3">
        <f>+N30-$N$30/48</f>
        <v>36235.040762238299</v>
      </c>
      <c r="P30" s="3">
        <f>+O30-$N$30/48</f>
        <v>35464.082448148125</v>
      </c>
      <c r="Q30" s="3">
        <f t="shared" ref="Q30:Z30" si="24">+P30-$N$30/12</f>
        <v>32380.249191787418</v>
      </c>
      <c r="R30" s="3">
        <f t="shared" si="24"/>
        <v>29296.41593542671</v>
      </c>
      <c r="S30" s="3">
        <f t="shared" si="24"/>
        <v>26212.582679066003</v>
      </c>
      <c r="T30" s="3">
        <f t="shared" si="24"/>
        <v>23128.749422705296</v>
      </c>
      <c r="U30" s="3">
        <f t="shared" si="24"/>
        <v>20044.916166344588</v>
      </c>
      <c r="V30" s="3">
        <f t="shared" si="24"/>
        <v>16961.082909983881</v>
      </c>
      <c r="W30" s="3">
        <f t="shared" si="24"/>
        <v>13877.249653623176</v>
      </c>
      <c r="X30" s="3">
        <f t="shared" si="24"/>
        <v>10793.41639726247</v>
      </c>
      <c r="Y30" s="3">
        <f t="shared" si="24"/>
        <v>7709.5831409017646</v>
      </c>
      <c r="Z30" s="3">
        <f t="shared" si="24"/>
        <v>4625.7498845410591</v>
      </c>
      <c r="AA30" s="6"/>
      <c r="AB30" s="5">
        <f t="shared" si="6"/>
        <v>-67285.637390418851</v>
      </c>
      <c r="AC30" s="6" t="s">
        <v>16</v>
      </c>
      <c r="AD30" s="31">
        <f t="shared" si="12"/>
        <v>-29508.679999999993</v>
      </c>
      <c r="AE30" s="3">
        <v>29508.68</v>
      </c>
      <c r="AF30" s="5">
        <v>37776.957390418858</v>
      </c>
      <c r="AG30" s="5">
        <v>1475434</v>
      </c>
      <c r="AH30" s="3">
        <f t="shared" si="7"/>
        <v>-17700</v>
      </c>
      <c r="AI30" s="18"/>
      <c r="AJ30" s="10">
        <f t="shared" si="8"/>
        <v>-47208.679999999993</v>
      </c>
      <c r="AK30" s="30">
        <f t="shared" si="9"/>
        <v>0.02</v>
      </c>
      <c r="AP30" s="6"/>
      <c r="AQ30" s="7"/>
      <c r="AR30" s="3"/>
      <c r="AS30" s="5"/>
      <c r="AT30" s="5"/>
      <c r="AU30" s="3"/>
      <c r="AV30" s="3"/>
      <c r="AW30" s="5"/>
    </row>
    <row r="31" spans="2:49" x14ac:dyDescent="0.25">
      <c r="B31" s="6" t="s">
        <v>16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5">
        <f>+SUM(N20:N30)-SUM(O20:O30)</f>
        <v>37776.957390418975</v>
      </c>
      <c r="P31" s="3">
        <f>+O31-$O$31/48</f>
        <v>36989.937444785246</v>
      </c>
      <c r="Q31" s="3">
        <f t="shared" ref="Q31:Z31" si="25">+P31-$O$31/12</f>
        <v>33841.857662250331</v>
      </c>
      <c r="R31" s="3">
        <f t="shared" si="25"/>
        <v>30693.777879715417</v>
      </c>
      <c r="S31" s="3">
        <f t="shared" si="25"/>
        <v>27545.698097180502</v>
      </c>
      <c r="T31" s="3">
        <f t="shared" si="25"/>
        <v>24397.618314645588</v>
      </c>
      <c r="U31" s="3">
        <f t="shared" si="25"/>
        <v>21249.538532110673</v>
      </c>
      <c r="V31" s="3">
        <f t="shared" si="25"/>
        <v>18101.458749575759</v>
      </c>
      <c r="W31" s="3">
        <f t="shared" si="25"/>
        <v>14953.378967040844</v>
      </c>
      <c r="X31" s="3">
        <f t="shared" si="25"/>
        <v>11805.29918450593</v>
      </c>
      <c r="Y31" s="3">
        <f t="shared" si="25"/>
        <v>8657.219401971015</v>
      </c>
      <c r="Z31" s="3">
        <f t="shared" si="25"/>
        <v>5509.1396194361005</v>
      </c>
      <c r="AA31" s="6"/>
      <c r="AB31" s="5">
        <f t="shared" si="6"/>
        <v>-1504942.68</v>
      </c>
      <c r="AC31" s="6" t="s">
        <v>17</v>
      </c>
      <c r="AD31" s="31">
        <f t="shared" ref="AD31" si="26">+-AF31-AE31</f>
        <v>-1504942.68</v>
      </c>
      <c r="AE31" s="3">
        <v>29508.68</v>
      </c>
      <c r="AF31" s="5">
        <v>1475434</v>
      </c>
      <c r="AG31" s="5">
        <v>1475434</v>
      </c>
      <c r="AH31" s="3">
        <f t="shared" si="7"/>
        <v>-17700</v>
      </c>
      <c r="AI31" s="18"/>
      <c r="AJ31" s="10">
        <f t="shared" si="8"/>
        <v>-1522642.68</v>
      </c>
      <c r="AK31" s="5">
        <f>+AVERAGE(AG19:AG30)</f>
        <v>1475434</v>
      </c>
      <c r="AL31" s="5"/>
      <c r="AM31" s="5"/>
      <c r="AN31" s="5"/>
      <c r="AO31" s="5"/>
      <c r="AP31" s="5"/>
      <c r="AQ31" s="2"/>
      <c r="AR31" s="2"/>
      <c r="AS31" s="13"/>
      <c r="AT31" s="5"/>
      <c r="AU31" s="3"/>
      <c r="AV31" s="3"/>
      <c r="AW31" s="5"/>
    </row>
    <row r="32" spans="2:49" x14ac:dyDescent="0.25">
      <c r="B32" s="6" t="s">
        <v>17</v>
      </c>
      <c r="C32" s="6"/>
      <c r="P32" s="5">
        <f>+SUM(O20:O31)-SUM(P20:P31)</f>
        <v>38563.977336052572</v>
      </c>
      <c r="AE32" s="5">
        <f>+SUM(AE20:AE31)</f>
        <v>354104.16</v>
      </c>
      <c r="AG32" s="5">
        <f>+AVERAGE(AG19:AG31)</f>
        <v>1475434</v>
      </c>
      <c r="AK32" s="30">
        <f>+AE32/AG32</f>
        <v>0.24</v>
      </c>
    </row>
    <row r="33" spans="2:37" x14ac:dyDescent="0.25">
      <c r="AK33" s="30"/>
    </row>
    <row r="34" spans="2:37" x14ac:dyDescent="0.25">
      <c r="P34" s="5"/>
    </row>
    <row r="35" spans="2:37" hidden="1" x14ac:dyDescent="0.25">
      <c r="B35" s="26" t="s">
        <v>105</v>
      </c>
      <c r="C35" s="26"/>
      <c r="D35" s="27">
        <f>+SUM(D36:D48)</f>
        <v>0</v>
      </c>
      <c r="E35" s="27">
        <f t="shared" ref="E35:P35" si="27">+SUM(E36:E48)</f>
        <v>-30738.208333333256</v>
      </c>
      <c r="F35" s="27">
        <f t="shared" si="27"/>
        <v>-31378.587673611033</v>
      </c>
      <c r="G35" s="27">
        <f t="shared" si="27"/>
        <v>-32032.308250144597</v>
      </c>
      <c r="H35" s="27">
        <f t="shared" si="27"/>
        <v>-32699.648005355943</v>
      </c>
      <c r="I35" s="27">
        <f t="shared" si="27"/>
        <v>-33380.890672134192</v>
      </c>
      <c r="J35" s="27">
        <f t="shared" si="27"/>
        <v>-34076.325894470327</v>
      </c>
      <c r="K35" s="27">
        <f t="shared" si="27"/>
        <v>-34786.249350605132</v>
      </c>
      <c r="L35" s="27">
        <f t="shared" si="27"/>
        <v>-35510.962878742728</v>
      </c>
      <c r="M35" s="27">
        <f t="shared" si="27"/>
        <v>-36250.774605383216</v>
      </c>
      <c r="N35" s="27">
        <f t="shared" si="27"/>
        <v>-37005.999076328684</v>
      </c>
      <c r="O35" s="27">
        <f t="shared" si="27"/>
        <v>-37776.957390418858</v>
      </c>
      <c r="P35" s="27">
        <f t="shared" si="27"/>
        <v>-1475434</v>
      </c>
    </row>
    <row r="36" spans="2:37" hidden="1" x14ac:dyDescent="0.25">
      <c r="B36" s="6" t="s">
        <v>6</v>
      </c>
      <c r="C36" s="6"/>
      <c r="E36" s="24">
        <f>+E20-D20</f>
        <v>-30738.208333333256</v>
      </c>
      <c r="F36" s="24">
        <f t="shared" ref="F36:O41" si="28">+F20-E20</f>
        <v>-30738.208333333256</v>
      </c>
      <c r="G36" s="24">
        <f t="shared" si="28"/>
        <v>-30738.208333333256</v>
      </c>
      <c r="H36" s="24">
        <f t="shared" si="28"/>
        <v>-30738.208333333256</v>
      </c>
      <c r="I36" s="24">
        <f t="shared" si="28"/>
        <v>-30738.208333333256</v>
      </c>
      <c r="J36" s="24">
        <f t="shared" si="28"/>
        <v>-30738.208333333256</v>
      </c>
      <c r="K36" s="24">
        <f t="shared" si="28"/>
        <v>-30738.208333333256</v>
      </c>
      <c r="L36" s="24">
        <f t="shared" si="28"/>
        <v>-30738.208333333256</v>
      </c>
      <c r="M36" s="24">
        <f t="shared" si="28"/>
        <v>-30738.208333333256</v>
      </c>
      <c r="N36" s="24">
        <f t="shared" si="28"/>
        <v>-30738.208333333256</v>
      </c>
      <c r="O36" s="24">
        <f t="shared" si="28"/>
        <v>-30738.208333333256</v>
      </c>
      <c r="P36" s="24"/>
    </row>
    <row r="37" spans="2:37" hidden="1" x14ac:dyDescent="0.25">
      <c r="B37" s="6" t="s">
        <v>7</v>
      </c>
      <c r="C37" s="6"/>
      <c r="E37" s="24"/>
      <c r="F37" s="24">
        <f t="shared" si="28"/>
        <v>-640.37934027777737</v>
      </c>
      <c r="G37" s="24">
        <f t="shared" si="28"/>
        <v>-640.37934027777737</v>
      </c>
      <c r="H37" s="24">
        <f t="shared" si="28"/>
        <v>-640.37934027777737</v>
      </c>
      <c r="I37" s="24">
        <f t="shared" si="28"/>
        <v>-640.37934027777737</v>
      </c>
      <c r="J37" s="24">
        <f t="shared" si="28"/>
        <v>-640.37934027777737</v>
      </c>
      <c r="K37" s="24">
        <f t="shared" si="28"/>
        <v>-640.37934027777737</v>
      </c>
      <c r="L37" s="24">
        <f t="shared" si="28"/>
        <v>-640.37934027777737</v>
      </c>
      <c r="M37" s="24">
        <f t="shared" si="28"/>
        <v>-640.37934027777737</v>
      </c>
      <c r="N37" s="24">
        <f t="shared" si="28"/>
        <v>-640.37934027777737</v>
      </c>
      <c r="O37" s="24">
        <f t="shared" si="28"/>
        <v>-640.37934027777737</v>
      </c>
      <c r="P37" s="24"/>
    </row>
    <row r="38" spans="2:37" hidden="1" x14ac:dyDescent="0.25">
      <c r="B38" s="6" t="s">
        <v>8</v>
      </c>
      <c r="C38" s="6"/>
      <c r="E38" s="24">
        <f t="shared" ref="E38:I47" si="29">+E22-D22</f>
        <v>0</v>
      </c>
      <c r="F38" s="24"/>
      <c r="G38" s="24">
        <f t="shared" si="28"/>
        <v>-653.72057653356387</v>
      </c>
      <c r="H38" s="24">
        <f t="shared" si="28"/>
        <v>-653.72057653356387</v>
      </c>
      <c r="I38" s="24">
        <f t="shared" si="28"/>
        <v>-653.72057653356387</v>
      </c>
      <c r="J38" s="24">
        <f t="shared" si="28"/>
        <v>-653.72057653356387</v>
      </c>
      <c r="K38" s="24">
        <f t="shared" si="28"/>
        <v>-653.72057653356387</v>
      </c>
      <c r="L38" s="24">
        <f t="shared" si="28"/>
        <v>-653.72057653356387</v>
      </c>
      <c r="M38" s="24">
        <f t="shared" si="28"/>
        <v>-653.72057653356387</v>
      </c>
      <c r="N38" s="24">
        <f t="shared" si="28"/>
        <v>-653.72057653356387</v>
      </c>
      <c r="O38" s="24">
        <f t="shared" si="28"/>
        <v>-653.72057653356387</v>
      </c>
      <c r="P38" s="24"/>
    </row>
    <row r="39" spans="2:37" hidden="1" x14ac:dyDescent="0.25">
      <c r="B39" s="6" t="s">
        <v>9</v>
      </c>
      <c r="C39" s="6"/>
      <c r="E39" s="24">
        <f t="shared" si="29"/>
        <v>0</v>
      </c>
      <c r="F39" s="24">
        <f t="shared" si="29"/>
        <v>0</v>
      </c>
      <c r="G39" s="24"/>
      <c r="H39" s="24">
        <f t="shared" si="28"/>
        <v>-667.33975521134562</v>
      </c>
      <c r="I39" s="24">
        <f t="shared" si="28"/>
        <v>-667.33975521134562</v>
      </c>
      <c r="J39" s="24">
        <f t="shared" si="28"/>
        <v>-667.33975521134562</v>
      </c>
      <c r="K39" s="24">
        <f t="shared" si="28"/>
        <v>-667.33975521134562</v>
      </c>
      <c r="L39" s="24">
        <f t="shared" si="28"/>
        <v>-667.33975521134562</v>
      </c>
      <c r="M39" s="24">
        <f t="shared" si="28"/>
        <v>-667.33975521134562</v>
      </c>
      <c r="N39" s="24">
        <f t="shared" si="28"/>
        <v>-667.33975521134562</v>
      </c>
      <c r="O39" s="24">
        <f t="shared" si="28"/>
        <v>-667.33975521134562</v>
      </c>
      <c r="P39" s="24"/>
    </row>
    <row r="40" spans="2:37" hidden="1" x14ac:dyDescent="0.25">
      <c r="B40" s="6" t="s">
        <v>10</v>
      </c>
      <c r="C40" s="6"/>
      <c r="E40" s="24">
        <f t="shared" si="29"/>
        <v>0</v>
      </c>
      <c r="F40" s="24">
        <f t="shared" si="29"/>
        <v>0</v>
      </c>
      <c r="G40" s="24">
        <f t="shared" si="29"/>
        <v>0</v>
      </c>
      <c r="H40" s="24"/>
      <c r="I40" s="24">
        <f t="shared" si="28"/>
        <v>-681.24266677824562</v>
      </c>
      <c r="J40" s="24">
        <f t="shared" si="28"/>
        <v>-681.24266677824562</v>
      </c>
      <c r="K40" s="24">
        <f t="shared" si="28"/>
        <v>-681.24266677824562</v>
      </c>
      <c r="L40" s="24">
        <f t="shared" si="28"/>
        <v>-681.24266677824562</v>
      </c>
      <c r="M40" s="24">
        <f t="shared" si="28"/>
        <v>-681.24266677824562</v>
      </c>
      <c r="N40" s="24">
        <f t="shared" si="28"/>
        <v>-681.24266677824562</v>
      </c>
      <c r="O40" s="24">
        <f t="shared" si="28"/>
        <v>-681.24266677824562</v>
      </c>
      <c r="P40" s="24"/>
    </row>
    <row r="41" spans="2:37" hidden="1" x14ac:dyDescent="0.25">
      <c r="B41" s="6" t="s">
        <v>11</v>
      </c>
      <c r="C41" s="6"/>
      <c r="E41" s="24">
        <f t="shared" si="29"/>
        <v>0</v>
      </c>
      <c r="F41" s="24">
        <f t="shared" si="29"/>
        <v>0</v>
      </c>
      <c r="G41" s="24">
        <f t="shared" si="29"/>
        <v>0</v>
      </c>
      <c r="H41" s="24">
        <f t="shared" si="29"/>
        <v>0</v>
      </c>
      <c r="I41" s="24"/>
      <c r="J41" s="24">
        <f t="shared" si="28"/>
        <v>-695.43522233613112</v>
      </c>
      <c r="K41" s="24">
        <f t="shared" si="28"/>
        <v>-695.43522233613112</v>
      </c>
      <c r="L41" s="24">
        <f t="shared" si="28"/>
        <v>-695.43522233613112</v>
      </c>
      <c r="M41" s="24">
        <f t="shared" si="28"/>
        <v>-695.43522233613112</v>
      </c>
      <c r="N41" s="24">
        <f t="shared" si="28"/>
        <v>-695.43522233613112</v>
      </c>
      <c r="O41" s="24">
        <f t="shared" si="28"/>
        <v>-695.43522233613112</v>
      </c>
      <c r="P41" s="24"/>
    </row>
    <row r="42" spans="2:37" hidden="1" x14ac:dyDescent="0.25">
      <c r="B42" s="6" t="s">
        <v>12</v>
      </c>
      <c r="C42" s="6"/>
      <c r="E42" s="24">
        <f t="shared" si="29"/>
        <v>0</v>
      </c>
      <c r="F42" s="24">
        <f t="shared" si="29"/>
        <v>0</v>
      </c>
      <c r="G42" s="24">
        <f t="shared" si="29"/>
        <v>0</v>
      </c>
      <c r="H42" s="24">
        <f t="shared" si="29"/>
        <v>0</v>
      </c>
      <c r="I42" s="24">
        <f t="shared" si="29"/>
        <v>0</v>
      </c>
      <c r="J42" s="24"/>
      <c r="K42" s="24">
        <f>+K26-J26</f>
        <v>-709.92345613480575</v>
      </c>
      <c r="L42" s="24">
        <f>+L26-K26</f>
        <v>-709.92345613480211</v>
      </c>
      <c r="M42" s="24">
        <f>+M26-L26</f>
        <v>-709.92345613480211</v>
      </c>
      <c r="N42" s="24">
        <f>+N26-M26</f>
        <v>-709.92345613480211</v>
      </c>
      <c r="O42" s="24">
        <f>+O26-N26</f>
        <v>-709.92345613480211</v>
      </c>
      <c r="P42" s="24"/>
    </row>
    <row r="43" spans="2:37" hidden="1" x14ac:dyDescent="0.25">
      <c r="B43" s="6" t="s">
        <v>13</v>
      </c>
      <c r="C43" s="6"/>
      <c r="E43" s="24">
        <f t="shared" si="29"/>
        <v>0</v>
      </c>
      <c r="F43" s="24">
        <f t="shared" si="29"/>
        <v>0</v>
      </c>
      <c r="G43" s="24">
        <f t="shared" si="29"/>
        <v>0</v>
      </c>
      <c r="H43" s="24">
        <f t="shared" si="29"/>
        <v>0</v>
      </c>
      <c r="I43" s="24">
        <f t="shared" si="29"/>
        <v>0</v>
      </c>
      <c r="J43" s="24">
        <f>+J27-I27</f>
        <v>0</v>
      </c>
      <c r="K43" s="24"/>
      <c r="L43" s="24">
        <f>+L27-K27</f>
        <v>-724.71352813760313</v>
      </c>
      <c r="M43" s="24">
        <f>+M27-L27</f>
        <v>-724.71352813760313</v>
      </c>
      <c r="N43" s="24">
        <f>+N27-M27</f>
        <v>-724.7135281375995</v>
      </c>
      <c r="O43" s="24">
        <f>+O27-N27</f>
        <v>-724.7135281375995</v>
      </c>
      <c r="P43" s="24"/>
    </row>
    <row r="44" spans="2:37" hidden="1" x14ac:dyDescent="0.25">
      <c r="B44" s="6" t="s">
        <v>14</v>
      </c>
      <c r="C44" s="6"/>
      <c r="E44" s="24">
        <f t="shared" si="29"/>
        <v>0</v>
      </c>
      <c r="F44" s="24">
        <f t="shared" si="29"/>
        <v>0</v>
      </c>
      <c r="G44" s="24">
        <f t="shared" si="29"/>
        <v>0</v>
      </c>
      <c r="H44" s="24">
        <f t="shared" si="29"/>
        <v>0</v>
      </c>
      <c r="I44" s="24">
        <f t="shared" si="29"/>
        <v>0</v>
      </c>
      <c r="J44" s="24">
        <f>+J28-I28</f>
        <v>0</v>
      </c>
      <c r="K44" s="24">
        <f>+K28-J28</f>
        <v>0</v>
      </c>
      <c r="L44" s="24"/>
      <c r="M44" s="24">
        <f>+M28-L28</f>
        <v>-739.8117266404879</v>
      </c>
      <c r="N44" s="24">
        <f>+N28-M28</f>
        <v>-739.8117266404879</v>
      </c>
      <c r="O44" s="24">
        <f>+O28-N28</f>
        <v>-739.8117266404879</v>
      </c>
      <c r="P44" s="24"/>
    </row>
    <row r="45" spans="2:37" hidden="1" x14ac:dyDescent="0.25">
      <c r="B45" s="6" t="s">
        <v>15</v>
      </c>
      <c r="C45" s="6"/>
      <c r="E45" s="24">
        <f t="shared" si="29"/>
        <v>0</v>
      </c>
      <c r="F45" s="24">
        <f t="shared" si="29"/>
        <v>0</v>
      </c>
      <c r="G45" s="24">
        <f t="shared" si="29"/>
        <v>0</v>
      </c>
      <c r="H45" s="24">
        <f t="shared" si="29"/>
        <v>0</v>
      </c>
      <c r="I45" s="24">
        <f t="shared" si="29"/>
        <v>0</v>
      </c>
      <c r="J45" s="24">
        <f>+J29-I29</f>
        <v>0</v>
      </c>
      <c r="K45" s="24">
        <f>+K29-J29</f>
        <v>0</v>
      </c>
      <c r="L45" s="24">
        <f>+L29-K29</f>
        <v>0</v>
      </c>
      <c r="M45" s="24"/>
      <c r="N45" s="24">
        <f>+N29-M29</f>
        <v>-755.22447094547533</v>
      </c>
      <c r="O45" s="24">
        <f>+O29-N29</f>
        <v>-755.22447094547533</v>
      </c>
      <c r="P45" s="24"/>
    </row>
    <row r="46" spans="2:37" hidden="1" x14ac:dyDescent="0.25">
      <c r="B46" s="6" t="s">
        <v>16</v>
      </c>
      <c r="C46" s="6"/>
      <c r="E46" s="24">
        <f t="shared" si="29"/>
        <v>0</v>
      </c>
      <c r="F46" s="24">
        <f t="shared" si="29"/>
        <v>0</v>
      </c>
      <c r="G46" s="24">
        <f t="shared" si="29"/>
        <v>0</v>
      </c>
      <c r="H46" s="24">
        <f t="shared" si="29"/>
        <v>0</v>
      </c>
      <c r="I46" s="24">
        <f t="shared" si="29"/>
        <v>0</v>
      </c>
      <c r="J46" s="24">
        <f>+J30-I30</f>
        <v>0</v>
      </c>
      <c r="K46" s="24">
        <f>+K30-J30</f>
        <v>0</v>
      </c>
      <c r="L46" s="24">
        <f>+L30-K30</f>
        <v>0</v>
      </c>
      <c r="M46" s="24">
        <f>+M30-L30</f>
        <v>0</v>
      </c>
      <c r="N46" s="24"/>
      <c r="O46" s="24">
        <f>+O30-N30</f>
        <v>-770.9583140901741</v>
      </c>
      <c r="P46" s="24"/>
    </row>
    <row r="47" spans="2:37" hidden="1" x14ac:dyDescent="0.25">
      <c r="B47" s="6" t="s">
        <v>17</v>
      </c>
      <c r="C47" s="6"/>
      <c r="E47" s="24">
        <f t="shared" si="29"/>
        <v>0</v>
      </c>
      <c r="F47" s="24">
        <f t="shared" si="29"/>
        <v>0</v>
      </c>
      <c r="G47" s="24">
        <f t="shared" si="29"/>
        <v>0</v>
      </c>
      <c r="H47" s="24">
        <f t="shared" si="29"/>
        <v>0</v>
      </c>
      <c r="I47" s="24">
        <f t="shared" si="29"/>
        <v>0</v>
      </c>
      <c r="J47" s="24">
        <f>+J31-I31</f>
        <v>0</v>
      </c>
      <c r="K47" s="24">
        <f>+K31-J31</f>
        <v>0</v>
      </c>
      <c r="L47" s="24">
        <f>+L31-K31</f>
        <v>0</v>
      </c>
      <c r="M47" s="24">
        <f>+M31-L31</f>
        <v>0</v>
      </c>
      <c r="N47" s="24">
        <f>+N31-M31</f>
        <v>0</v>
      </c>
      <c r="O47" s="24"/>
      <c r="P47" s="24">
        <f>-P19</f>
        <v>-1475434</v>
      </c>
    </row>
    <row r="48" spans="2:37" x14ac:dyDescent="0.25">
      <c r="P48" s="5"/>
    </row>
    <row r="49" spans="2:16" x14ac:dyDescent="0.25">
      <c r="E49" s="5">
        <f>+E19+E35</f>
        <v>1444695.7916666667</v>
      </c>
      <c r="F49" s="5">
        <f t="shared" ref="F49:P49" si="30">+F19+F35</f>
        <v>1444055.412326389</v>
      </c>
      <c r="G49" s="5">
        <f t="shared" si="30"/>
        <v>1443401.6917498554</v>
      </c>
      <c r="H49" s="5">
        <f t="shared" si="30"/>
        <v>1442734.3519946442</v>
      </c>
      <c r="I49" s="5">
        <f t="shared" si="30"/>
        <v>1442053.1093278658</v>
      </c>
      <c r="J49" s="5">
        <f t="shared" si="30"/>
        <v>1441357.6741055297</v>
      </c>
      <c r="K49" s="5">
        <f t="shared" si="30"/>
        <v>1440647.7506493949</v>
      </c>
      <c r="L49" s="5">
        <f t="shared" si="30"/>
        <v>1439923.0371212573</v>
      </c>
      <c r="M49" s="5">
        <f t="shared" si="30"/>
        <v>1439183.2253946168</v>
      </c>
      <c r="N49" s="5">
        <f t="shared" si="30"/>
        <v>1438428.0009236713</v>
      </c>
      <c r="O49" s="5">
        <f t="shared" si="30"/>
        <v>1437657.0426095813</v>
      </c>
      <c r="P49" s="5">
        <f t="shared" si="30"/>
        <v>0</v>
      </c>
    </row>
    <row r="53" spans="2:16" x14ac:dyDescent="0.25">
      <c r="B53" s="26" t="s">
        <v>105</v>
      </c>
      <c r="C53" s="26"/>
      <c r="D53" s="27">
        <f>+SUM(D54:D66)</f>
        <v>0</v>
      </c>
      <c r="E53" s="24">
        <f>+AVERAGE(D19:D19)*$D$12</f>
        <v>29508.68</v>
      </c>
      <c r="F53" s="24">
        <f>+AVERAGE(E19:E19)*$E$12</f>
        <v>29508.68</v>
      </c>
      <c r="G53" s="24">
        <f>+AVERAGE(F19:F19)*$F$12</f>
        <v>29508.68</v>
      </c>
      <c r="H53" s="24">
        <f>+AVERAGE(G19:G19)*$G$12</f>
        <v>29508.68</v>
      </c>
      <c r="I53" s="24">
        <f>+AVERAGE(H19:H19)*$H$12</f>
        <v>29508.68</v>
      </c>
      <c r="J53" s="24">
        <f>+AVERAGE(I19:I19)*$I$12</f>
        <v>29508.68</v>
      </c>
      <c r="K53" s="24">
        <f>+AVERAGE(J19:J19)*$J$12</f>
        <v>29508.68</v>
      </c>
      <c r="L53" s="24">
        <f>+AVERAGE(K19:K19)*$K$12</f>
        <v>29508.68</v>
      </c>
      <c r="M53" s="24">
        <f>+AVERAGE(L19:L19)*$L$12</f>
        <v>29508.68</v>
      </c>
      <c r="N53" s="24">
        <f>+AVERAGE(M19:M19)*$M$12</f>
        <v>29508.68</v>
      </c>
      <c r="O53" s="24">
        <f>+AVERAGE(N19:N19)*$N$12</f>
        <v>29508.68</v>
      </c>
      <c r="P53" s="24">
        <f>+AVERAGE(O19:O19)*$O$12</f>
        <v>29508.68</v>
      </c>
    </row>
    <row r="54" spans="2:16" x14ac:dyDescent="0.25">
      <c r="B54" s="6"/>
      <c r="C54" s="6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</row>
    <row r="55" spans="2:16" x14ac:dyDescent="0.25">
      <c r="B55" s="6"/>
      <c r="C55" s="6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</row>
    <row r="56" spans="2:16" x14ac:dyDescent="0.25">
      <c r="B56" s="6"/>
      <c r="C56" s="6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</row>
    <row r="57" spans="2:16" x14ac:dyDescent="0.25">
      <c r="B57" s="6"/>
      <c r="C57" s="6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</row>
    <row r="58" spans="2:16" x14ac:dyDescent="0.25">
      <c r="B58" s="6"/>
      <c r="C58" s="6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</row>
    <row r="59" spans="2:16" x14ac:dyDescent="0.25">
      <c r="B59" s="6"/>
      <c r="C59" s="6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</row>
    <row r="60" spans="2:16" x14ac:dyDescent="0.25">
      <c r="B60" s="6"/>
      <c r="C60" s="6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</row>
    <row r="61" spans="2:16" x14ac:dyDescent="0.25">
      <c r="B61" s="6"/>
      <c r="C61" s="6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</row>
    <row r="62" spans="2:16" x14ac:dyDescent="0.25">
      <c r="B62" s="6"/>
      <c r="C62" s="6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</row>
    <row r="63" spans="2:16" x14ac:dyDescent="0.25">
      <c r="B63" s="6"/>
      <c r="C63" s="6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</row>
    <row r="64" spans="2:16" x14ac:dyDescent="0.25">
      <c r="B64" s="6"/>
      <c r="C64" s="6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</row>
    <row r="65" spans="2:35" x14ac:dyDescent="0.25">
      <c r="B65" s="6"/>
      <c r="C65" s="6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</row>
    <row r="67" spans="2:35" s="1" customFormat="1" x14ac:dyDescent="0.25"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AI67" s="15"/>
    </row>
  </sheetData>
  <mergeCells count="1">
    <mergeCell ref="D16:O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Creditos cuota Fija</vt:lpstr>
      <vt:lpstr>Tarjetas</vt:lpstr>
      <vt:lpstr>CDT</vt:lpstr>
      <vt:lpstr>VTU LEASING</vt:lpstr>
      <vt:lpstr>Simulador</vt:lpstr>
      <vt:lpstr>Rotativo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Alarcon Contreras Jenny Katherine</dc:creator>
  <cp:lastModifiedBy>Romero Castaneda, Sandra Milena</cp:lastModifiedBy>
  <cp:lastPrinted>2017-11-29T18:39:17Z</cp:lastPrinted>
  <dcterms:created xsi:type="dcterms:W3CDTF">2017-04-27T00:10:25Z</dcterms:created>
  <dcterms:modified xsi:type="dcterms:W3CDTF">2020-05-13T23:58:18Z</dcterms:modified>
</cp:coreProperties>
</file>