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cotiabank-my.sharepoint.com/personal/angie_baracaldo_scotiabankcolpatria_com/Documents/Analista Estrategia Vivienda/11.VTU HIPOTECARIO/"/>
    </mc:Choice>
  </mc:AlternateContent>
  <xr:revisionPtr revIDLastSave="83" documentId="8_{C738AC58-CEF9-45A7-A05B-745A2AD5AB51}" xr6:coauthVersionLast="47" xr6:coauthVersionMax="47" xr10:uidLastSave="{D729617C-85CA-4109-ADB9-D3B25AD4F519}"/>
  <bookViews>
    <workbookView xWindow="-110" yWindow="-110" windowWidth="19420" windowHeight="10420" firstSheet="3" activeTab="3" xr2:uid="{00000000-000D-0000-FFFF-FFFF00000000}"/>
  </bookViews>
  <sheets>
    <sheet name="Creditos cuota Fija" sheetId="1" state="veryHidden" r:id="rId1"/>
    <sheet name="Tarjetas" sheetId="2" state="hidden" r:id="rId2"/>
    <sheet name="CDT" sheetId="4" state="hidden" r:id="rId3"/>
    <sheet name="VTU HIPOTECARIO" sheetId="11" r:id="rId4"/>
    <sheet name="Simulador" sheetId="8" r:id="rId5"/>
    <sheet name="PROPUESTA" sheetId="13" state="veryHidden" r:id="rId6"/>
    <sheet name="Listas" sheetId="14" state="veryHidden" r:id="rId7"/>
    <sheet name="TASAS" sheetId="12" state="veryHidden" r:id="rId8"/>
    <sheet name="Rotativo" sheetId="7" state="hidden" r:id="rId9"/>
  </sheets>
  <definedNames>
    <definedName name="_xlnm._FilterDatabase" localSheetId="7" hidden="1">TASAS!$A$2:$L$194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4" l="1" a="1"/>
  <c r="G14" i="14" s="1"/>
  <c r="A180" i="12"/>
  <c r="I180" i="12"/>
  <c r="J180" i="12" s="1"/>
  <c r="K180" i="12" s="1"/>
  <c r="A173" i="12"/>
  <c r="I173" i="12"/>
  <c r="J173" i="12" s="1"/>
  <c r="K173" i="12" s="1"/>
  <c r="A168" i="12"/>
  <c r="I168" i="12"/>
  <c r="J168" i="12" s="1"/>
  <c r="K168" i="12" s="1"/>
  <c r="A161" i="12"/>
  <c r="I161" i="12"/>
  <c r="J161" i="12" s="1"/>
  <c r="K161" i="12" s="1"/>
  <c r="A156" i="12"/>
  <c r="I156" i="12"/>
  <c r="J156" i="12" s="1"/>
  <c r="K156" i="12" s="1"/>
  <c r="A149" i="12"/>
  <c r="I149" i="12"/>
  <c r="J149" i="12" s="1"/>
  <c r="K149" i="12" s="1"/>
  <c r="A144" i="12"/>
  <c r="I144" i="12"/>
  <c r="J144" i="12"/>
  <c r="K144" i="12"/>
  <c r="A137" i="12"/>
  <c r="I137" i="12"/>
  <c r="J137" i="12" s="1"/>
  <c r="K137" i="12" s="1"/>
  <c r="A132" i="12"/>
  <c r="I132" i="12"/>
  <c r="J132" i="12" s="1"/>
  <c r="K132" i="12" s="1"/>
  <c r="A125" i="12"/>
  <c r="I125" i="12"/>
  <c r="J125" i="12" s="1"/>
  <c r="K125" i="12" s="1"/>
  <c r="A120" i="12"/>
  <c r="I120" i="12"/>
  <c r="J120" i="12" s="1"/>
  <c r="K120" i="12" s="1"/>
  <c r="A113" i="12"/>
  <c r="I113" i="12"/>
  <c r="J113" i="12" s="1"/>
  <c r="K113" i="12" s="1"/>
  <c r="A193" i="12"/>
  <c r="I193" i="12"/>
  <c r="J193" i="12" s="1"/>
  <c r="K193" i="12" s="1"/>
  <c r="A191" i="12"/>
  <c r="I191" i="12"/>
  <c r="J191" i="12" s="1"/>
  <c r="K191" i="12" s="1"/>
  <c r="A189" i="12"/>
  <c r="I189" i="12"/>
  <c r="J189" i="12" s="1"/>
  <c r="K189" i="12" s="1"/>
  <c r="A187" i="12"/>
  <c r="I187" i="12"/>
  <c r="J187" i="12" s="1"/>
  <c r="K187" i="12" s="1"/>
  <c r="A185" i="12"/>
  <c r="I185" i="12"/>
  <c r="J185" i="12" s="1"/>
  <c r="K185" i="12" s="1"/>
  <c r="A183" i="12"/>
  <c r="I183" i="12"/>
  <c r="J183" i="12" s="1"/>
  <c r="K183" i="12" s="1"/>
  <c r="A179" i="12"/>
  <c r="I179" i="12"/>
  <c r="J179" i="12" s="1"/>
  <c r="K179" i="12" s="1"/>
  <c r="A172" i="12"/>
  <c r="I172" i="12"/>
  <c r="J172" i="12" s="1"/>
  <c r="K172" i="12" s="1"/>
  <c r="A167" i="12"/>
  <c r="I167" i="12"/>
  <c r="J167" i="12" s="1"/>
  <c r="K167" i="12" s="1"/>
  <c r="A160" i="12"/>
  <c r="I160" i="12"/>
  <c r="J160" i="12" s="1"/>
  <c r="K160" i="12" s="1"/>
  <c r="A155" i="12"/>
  <c r="I155" i="12"/>
  <c r="J155" i="12" s="1"/>
  <c r="K155" i="12" s="1"/>
  <c r="A148" i="12"/>
  <c r="I148" i="12"/>
  <c r="J148" i="12" s="1"/>
  <c r="K148" i="12" s="1"/>
  <c r="A143" i="12"/>
  <c r="I143" i="12"/>
  <c r="J143" i="12" s="1"/>
  <c r="K143" i="12" s="1"/>
  <c r="A136" i="12"/>
  <c r="I136" i="12"/>
  <c r="J136" i="12" s="1"/>
  <c r="K136" i="12" s="1"/>
  <c r="A131" i="12"/>
  <c r="I131" i="12"/>
  <c r="J131" i="12" s="1"/>
  <c r="K131" i="12" s="1"/>
  <c r="A124" i="12"/>
  <c r="I124" i="12"/>
  <c r="J124" i="12" s="1"/>
  <c r="K124" i="12" s="1"/>
  <c r="A119" i="12"/>
  <c r="I119" i="12"/>
  <c r="J119" i="12" s="1"/>
  <c r="K119" i="12" s="1"/>
  <c r="A112" i="12"/>
  <c r="I112" i="12"/>
  <c r="J112" i="12" s="1"/>
  <c r="K112" i="12" s="1"/>
  <c r="A174" i="12"/>
  <c r="I174" i="12"/>
  <c r="J174" i="12" s="1"/>
  <c r="K174" i="12" s="1"/>
  <c r="A175" i="12"/>
  <c r="I175" i="12"/>
  <c r="J175" i="12" s="1"/>
  <c r="K175" i="12" s="1"/>
  <c r="A176" i="12"/>
  <c r="I176" i="12"/>
  <c r="J176" i="12" s="1"/>
  <c r="K176" i="12" s="1"/>
  <c r="A177" i="12"/>
  <c r="I177" i="12"/>
  <c r="J177" i="12" s="1"/>
  <c r="K177" i="12" s="1"/>
  <c r="A178" i="12"/>
  <c r="I178" i="12"/>
  <c r="J178" i="12" s="1"/>
  <c r="K178" i="12" s="1"/>
  <c r="A181" i="12"/>
  <c r="I181" i="12"/>
  <c r="J181" i="12" s="1"/>
  <c r="K181" i="12" s="1"/>
  <c r="A182" i="12"/>
  <c r="I182" i="12"/>
  <c r="J182" i="12" s="1"/>
  <c r="K182" i="12" s="1"/>
  <c r="A171" i="12"/>
  <c r="I171" i="12"/>
  <c r="J171" i="12" s="1"/>
  <c r="K171" i="12" s="1"/>
  <c r="A162" i="12"/>
  <c r="I162" i="12"/>
  <c r="J162" i="12" s="1"/>
  <c r="K162" i="12" s="1"/>
  <c r="A163" i="12"/>
  <c r="I163" i="12"/>
  <c r="J163" i="12" s="1"/>
  <c r="K163" i="12" s="1"/>
  <c r="A164" i="12"/>
  <c r="I164" i="12"/>
  <c r="J164" i="12" s="1"/>
  <c r="K164" i="12" s="1"/>
  <c r="A165" i="12"/>
  <c r="I165" i="12"/>
  <c r="J165" i="12" s="1"/>
  <c r="K165" i="12" s="1"/>
  <c r="A166" i="12"/>
  <c r="I166" i="12"/>
  <c r="J166" i="12" s="1"/>
  <c r="K166" i="12" s="1"/>
  <c r="A169" i="12"/>
  <c r="I169" i="12"/>
  <c r="J169" i="12" s="1"/>
  <c r="K169" i="12" s="1"/>
  <c r="A170" i="12"/>
  <c r="I170" i="12"/>
  <c r="J170" i="12" s="1"/>
  <c r="K170" i="12" s="1"/>
  <c r="A159" i="12"/>
  <c r="I159" i="12"/>
  <c r="J159" i="12" s="1"/>
  <c r="K159" i="12" s="1"/>
  <c r="A150" i="12"/>
  <c r="I150" i="12"/>
  <c r="J150" i="12" s="1"/>
  <c r="K150" i="12" s="1"/>
  <c r="A151" i="12"/>
  <c r="I151" i="12"/>
  <c r="J151" i="12" s="1"/>
  <c r="K151" i="12" s="1"/>
  <c r="A152" i="12"/>
  <c r="I152" i="12"/>
  <c r="J152" i="12" s="1"/>
  <c r="K152" i="12" s="1"/>
  <c r="A153" i="12"/>
  <c r="I153" i="12"/>
  <c r="J153" i="12" s="1"/>
  <c r="K153" i="12" s="1"/>
  <c r="A154" i="12"/>
  <c r="I154" i="12"/>
  <c r="J154" i="12" s="1"/>
  <c r="K154" i="12" s="1"/>
  <c r="A157" i="12"/>
  <c r="I157" i="12"/>
  <c r="J157" i="12" s="1"/>
  <c r="K157" i="12" s="1"/>
  <c r="A158" i="12"/>
  <c r="I158" i="12"/>
  <c r="J158" i="12" s="1"/>
  <c r="K158" i="12" s="1"/>
  <c r="A147" i="12"/>
  <c r="I147" i="12"/>
  <c r="J147" i="12" s="1"/>
  <c r="K147" i="12" s="1"/>
  <c r="A138" i="12"/>
  <c r="I138" i="12"/>
  <c r="J138" i="12" s="1"/>
  <c r="K138" i="12" s="1"/>
  <c r="A139" i="12"/>
  <c r="I139" i="12"/>
  <c r="J139" i="12" s="1"/>
  <c r="K139" i="12" s="1"/>
  <c r="A140" i="12"/>
  <c r="I140" i="12"/>
  <c r="J140" i="12" s="1"/>
  <c r="K140" i="12" s="1"/>
  <c r="A141" i="12"/>
  <c r="I141" i="12"/>
  <c r="J141" i="12" s="1"/>
  <c r="K141" i="12" s="1"/>
  <c r="A142" i="12"/>
  <c r="I142" i="12"/>
  <c r="J142" i="12" s="1"/>
  <c r="K142" i="12" s="1"/>
  <c r="A145" i="12"/>
  <c r="I145" i="12"/>
  <c r="J145" i="12" s="1"/>
  <c r="K145" i="12" s="1"/>
  <c r="A146" i="12"/>
  <c r="I146" i="12"/>
  <c r="J146" i="12" s="1"/>
  <c r="K146" i="12" s="1"/>
  <c r="A135" i="12"/>
  <c r="I135" i="12"/>
  <c r="J135" i="12" s="1"/>
  <c r="K135" i="12" s="1"/>
  <c r="A126" i="12"/>
  <c r="I126" i="12"/>
  <c r="J126" i="12" s="1"/>
  <c r="K126" i="12" s="1"/>
  <c r="A127" i="12"/>
  <c r="I127" i="12"/>
  <c r="J127" i="12" s="1"/>
  <c r="K127" i="12" s="1"/>
  <c r="A128" i="12"/>
  <c r="I128" i="12"/>
  <c r="J128" i="12" s="1"/>
  <c r="K128" i="12" s="1"/>
  <c r="A129" i="12"/>
  <c r="I129" i="12"/>
  <c r="J129" i="12" s="1"/>
  <c r="K129" i="12" s="1"/>
  <c r="A130" i="12"/>
  <c r="I130" i="12"/>
  <c r="J130" i="12" s="1"/>
  <c r="K130" i="12" s="1"/>
  <c r="A133" i="12"/>
  <c r="I133" i="12"/>
  <c r="J133" i="12" s="1"/>
  <c r="K133" i="12" s="1"/>
  <c r="A134" i="12"/>
  <c r="I134" i="12"/>
  <c r="J134" i="12" s="1"/>
  <c r="K134" i="12" s="1"/>
  <c r="A123" i="12"/>
  <c r="I123" i="12"/>
  <c r="J123" i="12" s="1"/>
  <c r="K123" i="12" s="1"/>
  <c r="A114" i="12"/>
  <c r="I114" i="12"/>
  <c r="J114" i="12" s="1"/>
  <c r="K114" i="12" s="1"/>
  <c r="A115" i="12"/>
  <c r="I115" i="12"/>
  <c r="J115" i="12" s="1"/>
  <c r="K115" i="12" s="1"/>
  <c r="A116" i="12"/>
  <c r="I116" i="12"/>
  <c r="J116" i="12" s="1"/>
  <c r="K116" i="12" s="1"/>
  <c r="A117" i="12"/>
  <c r="I117" i="12"/>
  <c r="J117" i="12" s="1"/>
  <c r="K117" i="12" s="1"/>
  <c r="A118" i="12"/>
  <c r="I118" i="12"/>
  <c r="J118" i="12" s="1"/>
  <c r="K118" i="12" s="1"/>
  <c r="A121" i="12"/>
  <c r="I121" i="12"/>
  <c r="J121" i="12" s="1"/>
  <c r="K121" i="12" s="1"/>
  <c r="A122" i="12"/>
  <c r="I122" i="12"/>
  <c r="J122" i="12" s="1"/>
  <c r="K122" i="12" s="1"/>
  <c r="A111" i="12"/>
  <c r="I111" i="12"/>
  <c r="J111" i="12" s="1"/>
  <c r="K111" i="12" s="1"/>
  <c r="A4" i="12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184" i="12"/>
  <c r="A81" i="12"/>
  <c r="A82" i="12"/>
  <c r="A83" i="12"/>
  <c r="A84" i="12"/>
  <c r="A85" i="12"/>
  <c r="A86" i="12"/>
  <c r="A186" i="12"/>
  <c r="A87" i="12"/>
  <c r="A88" i="12"/>
  <c r="A89" i="12"/>
  <c r="A90" i="12"/>
  <c r="A91" i="12"/>
  <c r="A92" i="12"/>
  <c r="A188" i="12"/>
  <c r="A93" i="12"/>
  <c r="A94" i="12"/>
  <c r="A95" i="12"/>
  <c r="A96" i="12"/>
  <c r="A97" i="12"/>
  <c r="A98" i="12"/>
  <c r="A190" i="12"/>
  <c r="A99" i="12"/>
  <c r="A100" i="12"/>
  <c r="A101" i="12"/>
  <c r="A102" i="12"/>
  <c r="A103" i="12"/>
  <c r="A104" i="12"/>
  <c r="A192" i="12"/>
  <c r="A105" i="12"/>
  <c r="A106" i="12"/>
  <c r="A107" i="12"/>
  <c r="A108" i="12"/>
  <c r="A109" i="12"/>
  <c r="A110" i="12"/>
  <c r="A194" i="12"/>
  <c r="A3" i="12"/>
  <c r="F19" i="11" s="1"/>
  <c r="F16" i="11"/>
  <c r="I17" i="11" l="1"/>
  <c r="I20" i="11"/>
  <c r="A4" i="14" l="1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H110" i="12"/>
  <c r="I110" i="12" s="1"/>
  <c r="J110" i="12" s="1"/>
  <c r="K110" i="12" s="1"/>
  <c r="H109" i="12"/>
  <c r="I109" i="12" s="1"/>
  <c r="J109" i="12" s="1"/>
  <c r="K109" i="12" s="1"/>
  <c r="H108" i="12"/>
  <c r="I108" i="12" s="1"/>
  <c r="J108" i="12" s="1"/>
  <c r="K108" i="12" s="1"/>
  <c r="H107" i="12"/>
  <c r="I107" i="12" s="1"/>
  <c r="J107" i="12" s="1"/>
  <c r="K107" i="12" s="1"/>
  <c r="H106" i="12"/>
  <c r="I106" i="12" s="1"/>
  <c r="J106" i="12" s="1"/>
  <c r="K106" i="12" s="1"/>
  <c r="H105" i="12"/>
  <c r="I105" i="12" s="1"/>
  <c r="J105" i="12" s="1"/>
  <c r="K105" i="12" s="1"/>
  <c r="H104" i="12"/>
  <c r="I104" i="12" s="1"/>
  <c r="J104" i="12" s="1"/>
  <c r="K104" i="12" s="1"/>
  <c r="H103" i="12"/>
  <c r="I103" i="12" s="1"/>
  <c r="J103" i="12" s="1"/>
  <c r="K103" i="12" s="1"/>
  <c r="H102" i="12"/>
  <c r="I102" i="12" s="1"/>
  <c r="J102" i="12" s="1"/>
  <c r="K102" i="12" s="1"/>
  <c r="H101" i="12"/>
  <c r="I101" i="12" s="1"/>
  <c r="J101" i="12" s="1"/>
  <c r="K101" i="12" s="1"/>
  <c r="H100" i="12"/>
  <c r="I100" i="12" s="1"/>
  <c r="J100" i="12" s="1"/>
  <c r="K100" i="12" s="1"/>
  <c r="H99" i="12"/>
  <c r="I99" i="12" s="1"/>
  <c r="J99" i="12" s="1"/>
  <c r="K99" i="12" s="1"/>
  <c r="H98" i="12"/>
  <c r="I98" i="12" s="1"/>
  <c r="J98" i="12" s="1"/>
  <c r="K98" i="12" s="1"/>
  <c r="H97" i="12"/>
  <c r="I97" i="12" s="1"/>
  <c r="J97" i="12" s="1"/>
  <c r="K97" i="12" s="1"/>
  <c r="H96" i="12"/>
  <c r="I96" i="12" s="1"/>
  <c r="J96" i="12" s="1"/>
  <c r="K96" i="12" s="1"/>
  <c r="H95" i="12"/>
  <c r="I95" i="12" s="1"/>
  <c r="J95" i="12" s="1"/>
  <c r="K95" i="12" s="1"/>
  <c r="H94" i="12"/>
  <c r="I94" i="12" s="1"/>
  <c r="J94" i="12" s="1"/>
  <c r="K94" i="12" s="1"/>
  <c r="H93" i="12"/>
  <c r="I93" i="12" s="1"/>
  <c r="J93" i="12" s="1"/>
  <c r="K93" i="12" s="1"/>
  <c r="H92" i="12"/>
  <c r="I92" i="12" s="1"/>
  <c r="J92" i="12" s="1"/>
  <c r="K92" i="12" s="1"/>
  <c r="H91" i="12"/>
  <c r="I91" i="12" s="1"/>
  <c r="J91" i="12" s="1"/>
  <c r="K91" i="12" s="1"/>
  <c r="H90" i="12"/>
  <c r="I90" i="12" s="1"/>
  <c r="J90" i="12" s="1"/>
  <c r="K90" i="12" s="1"/>
  <c r="H89" i="12"/>
  <c r="I89" i="12" s="1"/>
  <c r="J89" i="12" s="1"/>
  <c r="K89" i="12" s="1"/>
  <c r="H88" i="12"/>
  <c r="I88" i="12" s="1"/>
  <c r="J88" i="12" s="1"/>
  <c r="K88" i="12" s="1"/>
  <c r="H87" i="12"/>
  <c r="I87" i="12" s="1"/>
  <c r="J87" i="12" s="1"/>
  <c r="K87" i="12" s="1"/>
  <c r="H86" i="12"/>
  <c r="I86" i="12" s="1"/>
  <c r="J86" i="12" s="1"/>
  <c r="K86" i="12" s="1"/>
  <c r="H85" i="12"/>
  <c r="I85" i="12" s="1"/>
  <c r="J85" i="12" s="1"/>
  <c r="K85" i="12" s="1"/>
  <c r="H84" i="12"/>
  <c r="I84" i="12" s="1"/>
  <c r="J84" i="12" s="1"/>
  <c r="K84" i="12" s="1"/>
  <c r="H83" i="12"/>
  <c r="I83" i="12" s="1"/>
  <c r="J83" i="12" s="1"/>
  <c r="K83" i="12" s="1"/>
  <c r="H82" i="12"/>
  <c r="I82" i="12" s="1"/>
  <c r="J82" i="12" s="1"/>
  <c r="K82" i="12" s="1"/>
  <c r="H81" i="12"/>
  <c r="I81" i="12" s="1"/>
  <c r="J81" i="12" s="1"/>
  <c r="K81" i="12" s="1"/>
  <c r="H80" i="12"/>
  <c r="I80" i="12" s="1"/>
  <c r="J80" i="12" s="1"/>
  <c r="K80" i="12" s="1"/>
  <c r="H79" i="12"/>
  <c r="I79" i="12" s="1"/>
  <c r="J79" i="12" s="1"/>
  <c r="K79" i="12" s="1"/>
  <c r="H78" i="12"/>
  <c r="I78" i="12" s="1"/>
  <c r="J78" i="12" s="1"/>
  <c r="K78" i="12" s="1"/>
  <c r="H77" i="12"/>
  <c r="I77" i="12" s="1"/>
  <c r="J77" i="12" s="1"/>
  <c r="K77" i="12" s="1"/>
  <c r="H76" i="12"/>
  <c r="I76" i="12" s="1"/>
  <c r="J76" i="12" s="1"/>
  <c r="K76" i="12" s="1"/>
  <c r="H75" i="12"/>
  <c r="I75" i="12" s="1"/>
  <c r="J75" i="12" s="1"/>
  <c r="K75" i="12" s="1"/>
  <c r="H74" i="12"/>
  <c r="I74" i="12" s="1"/>
  <c r="J74" i="12" s="1"/>
  <c r="K74" i="12" s="1"/>
  <c r="H73" i="12"/>
  <c r="I73" i="12" s="1"/>
  <c r="H72" i="12"/>
  <c r="I72" i="12" s="1"/>
  <c r="J72" i="12" s="1"/>
  <c r="K72" i="12" s="1"/>
  <c r="H71" i="12"/>
  <c r="I71" i="12" s="1"/>
  <c r="J71" i="12" s="1"/>
  <c r="K71" i="12" s="1"/>
  <c r="H70" i="12"/>
  <c r="I70" i="12" s="1"/>
  <c r="H69" i="12"/>
  <c r="H68" i="12"/>
  <c r="I68" i="12" s="1"/>
  <c r="H67" i="12"/>
  <c r="I67" i="12" s="1"/>
  <c r="H66" i="12"/>
  <c r="I66" i="12" s="1"/>
  <c r="J66" i="12" s="1"/>
  <c r="K66" i="12" s="1"/>
  <c r="H65" i="12"/>
  <c r="I65" i="12" s="1"/>
  <c r="H64" i="12"/>
  <c r="H63" i="12"/>
  <c r="I63" i="12" s="1"/>
  <c r="J63" i="12" s="1"/>
  <c r="K63" i="12" s="1"/>
  <c r="H62" i="12"/>
  <c r="I62" i="12" s="1"/>
  <c r="H61" i="12"/>
  <c r="I61" i="12" s="1"/>
  <c r="H60" i="12"/>
  <c r="I60" i="12" s="1"/>
  <c r="H59" i="12"/>
  <c r="I59" i="12" s="1"/>
  <c r="H58" i="12"/>
  <c r="I58" i="12" s="1"/>
  <c r="J58" i="12" s="1"/>
  <c r="K58" i="12" s="1"/>
  <c r="H57" i="12"/>
  <c r="I57" i="12" s="1"/>
  <c r="H56" i="12"/>
  <c r="I56" i="12" s="1"/>
  <c r="J56" i="12" s="1"/>
  <c r="K56" i="12" s="1"/>
  <c r="H55" i="12"/>
  <c r="I55" i="12" s="1"/>
  <c r="J55" i="12" s="1"/>
  <c r="K55" i="12" s="1"/>
  <c r="H54" i="12"/>
  <c r="I54" i="12" s="1"/>
  <c r="H53" i="12"/>
  <c r="I53" i="12" s="1"/>
  <c r="H52" i="12"/>
  <c r="I52" i="12" s="1"/>
  <c r="H51" i="12"/>
  <c r="I51" i="12" s="1"/>
  <c r="H50" i="12"/>
  <c r="I50" i="12" s="1"/>
  <c r="J50" i="12" s="1"/>
  <c r="K50" i="12" s="1"/>
  <c r="H49" i="12"/>
  <c r="I49" i="12" s="1"/>
  <c r="H48" i="12"/>
  <c r="I48" i="12" s="1"/>
  <c r="J48" i="12" s="1"/>
  <c r="K48" i="12" s="1"/>
  <c r="H47" i="12"/>
  <c r="I47" i="12" s="1"/>
  <c r="J47" i="12" s="1"/>
  <c r="K47" i="12" s="1"/>
  <c r="H46" i="12"/>
  <c r="I46" i="12" s="1"/>
  <c r="H45" i="12"/>
  <c r="I45" i="12" s="1"/>
  <c r="H44" i="12"/>
  <c r="I44" i="12" s="1"/>
  <c r="H43" i="12"/>
  <c r="I43" i="12" s="1"/>
  <c r="H42" i="12"/>
  <c r="I42" i="12" s="1"/>
  <c r="J42" i="12" s="1"/>
  <c r="K42" i="12" s="1"/>
  <c r="H41" i="12"/>
  <c r="I41" i="12" s="1"/>
  <c r="H40" i="12"/>
  <c r="I40" i="12" s="1"/>
  <c r="J40" i="12" s="1"/>
  <c r="K40" i="12" s="1"/>
  <c r="H39" i="12"/>
  <c r="I39" i="12" s="1"/>
  <c r="J39" i="12" s="1"/>
  <c r="K39" i="12" s="1"/>
  <c r="H38" i="12"/>
  <c r="I38" i="12" s="1"/>
  <c r="H37" i="12"/>
  <c r="I37" i="12" s="1"/>
  <c r="H36" i="12"/>
  <c r="I36" i="12" s="1"/>
  <c r="H35" i="12"/>
  <c r="I35" i="12" s="1"/>
  <c r="H34" i="12"/>
  <c r="I34" i="12" s="1"/>
  <c r="J34" i="12" s="1"/>
  <c r="K34" i="12" s="1"/>
  <c r="H33" i="12"/>
  <c r="I33" i="12" s="1"/>
  <c r="H32" i="12"/>
  <c r="I32" i="12" s="1"/>
  <c r="J32" i="12" s="1"/>
  <c r="K32" i="12" s="1"/>
  <c r="H31" i="12"/>
  <c r="I31" i="12" s="1"/>
  <c r="J31" i="12" s="1"/>
  <c r="K31" i="12" s="1"/>
  <c r="H30" i="12"/>
  <c r="I30" i="12" s="1"/>
  <c r="H29" i="12"/>
  <c r="I29" i="12" s="1"/>
  <c r="H28" i="12"/>
  <c r="I28" i="12" s="1"/>
  <c r="H27" i="12"/>
  <c r="I27" i="12" s="1"/>
  <c r="H26" i="12"/>
  <c r="I26" i="12" s="1"/>
  <c r="J26" i="12" s="1"/>
  <c r="K26" i="12" s="1"/>
  <c r="H25" i="12"/>
  <c r="I25" i="12" s="1"/>
  <c r="J25" i="12" s="1"/>
  <c r="K25" i="12" s="1"/>
  <c r="H24" i="12"/>
  <c r="I24" i="12" s="1"/>
  <c r="J24" i="12" s="1"/>
  <c r="K24" i="12" s="1"/>
  <c r="H23" i="12"/>
  <c r="I23" i="12" s="1"/>
  <c r="J23" i="12" s="1"/>
  <c r="K23" i="12" s="1"/>
  <c r="H22" i="12"/>
  <c r="I22" i="12" s="1"/>
  <c r="J22" i="12" s="1"/>
  <c r="K22" i="12" s="1"/>
  <c r="H21" i="12"/>
  <c r="I21" i="12" s="1"/>
  <c r="J21" i="12" s="1"/>
  <c r="K21" i="12" s="1"/>
  <c r="H20" i="12"/>
  <c r="I20" i="12" s="1"/>
  <c r="J20" i="12" s="1"/>
  <c r="K20" i="12" s="1"/>
  <c r="H19" i="12"/>
  <c r="I19" i="12" s="1"/>
  <c r="J19" i="12" s="1"/>
  <c r="K19" i="12" s="1"/>
  <c r="H18" i="12"/>
  <c r="I18" i="12" s="1"/>
  <c r="J18" i="12" s="1"/>
  <c r="K18" i="12" s="1"/>
  <c r="H17" i="12"/>
  <c r="I17" i="12" s="1"/>
  <c r="J17" i="12" s="1"/>
  <c r="K17" i="12" s="1"/>
  <c r="H16" i="12"/>
  <c r="I16" i="12" s="1"/>
  <c r="J16" i="12" s="1"/>
  <c r="K16" i="12" s="1"/>
  <c r="H15" i="12"/>
  <c r="I15" i="12" s="1"/>
  <c r="J15" i="12" s="1"/>
  <c r="K15" i="12" s="1"/>
  <c r="H14" i="12"/>
  <c r="I14" i="12" s="1"/>
  <c r="H13" i="12"/>
  <c r="I13" i="12" s="1"/>
  <c r="J13" i="12" s="1"/>
  <c r="K13" i="12" s="1"/>
  <c r="H12" i="12"/>
  <c r="I12" i="12" s="1"/>
  <c r="H11" i="12"/>
  <c r="I11" i="12" s="1"/>
  <c r="H10" i="12"/>
  <c r="I10" i="12" s="1"/>
  <c r="H9" i="12"/>
  <c r="I9" i="12" s="1"/>
  <c r="J9" i="12" s="1"/>
  <c r="K9" i="12" s="1"/>
  <c r="H8" i="12"/>
  <c r="I8" i="12" s="1"/>
  <c r="H7" i="12"/>
  <c r="I7" i="12" s="1"/>
  <c r="H6" i="12"/>
  <c r="I6" i="12" s="1"/>
  <c r="H5" i="12"/>
  <c r="I5" i="12" s="1"/>
  <c r="H4" i="12"/>
  <c r="I4" i="12" s="1"/>
  <c r="H3" i="12"/>
  <c r="I3" i="12" s="1"/>
  <c r="I69" i="12"/>
  <c r="B83" i="13"/>
  <c r="B82" i="13"/>
  <c r="B80" i="13"/>
  <c r="B75" i="13"/>
  <c r="B73" i="13"/>
  <c r="B67" i="13"/>
  <c r="B66" i="13"/>
  <c r="B64" i="13"/>
  <c r="B63" i="13"/>
  <c r="B61" i="13"/>
  <c r="B60" i="13"/>
  <c r="B55" i="13"/>
  <c r="B53" i="13"/>
  <c r="B46" i="13"/>
  <c r="B45" i="13"/>
  <c r="B43" i="13"/>
  <c r="B42" i="13"/>
  <c r="B39" i="13"/>
  <c r="B38" i="13"/>
  <c r="B36" i="13"/>
  <c r="B35" i="13"/>
  <c r="B33" i="13"/>
  <c r="B32" i="13"/>
  <c r="B29" i="13"/>
  <c r="B28" i="13"/>
  <c r="B25" i="13"/>
  <c r="B24" i="13"/>
  <c r="E7" i="13"/>
  <c r="E10" i="13" s="1"/>
  <c r="E11" i="13" s="1"/>
  <c r="E14" i="13" s="1"/>
  <c r="E15" i="13" s="1"/>
  <c r="E17" i="13" s="1"/>
  <c r="E18" i="13" s="1"/>
  <c r="E24" i="13" s="1"/>
  <c r="E25" i="13" s="1"/>
  <c r="E28" i="13" s="1"/>
  <c r="E29" i="13" s="1"/>
  <c r="E32" i="13" s="1"/>
  <c r="I194" i="12"/>
  <c r="J194" i="12" s="1"/>
  <c r="K194" i="12" s="1"/>
  <c r="I192" i="12"/>
  <c r="J192" i="12" s="1"/>
  <c r="K192" i="12" s="1"/>
  <c r="I190" i="12"/>
  <c r="J190" i="12" s="1"/>
  <c r="K190" i="12" s="1"/>
  <c r="I188" i="12"/>
  <c r="J188" i="12" s="1"/>
  <c r="K188" i="12" s="1"/>
  <c r="I186" i="12"/>
  <c r="J186" i="12" s="1"/>
  <c r="K186" i="12" s="1"/>
  <c r="I184" i="12"/>
  <c r="J184" i="12" s="1"/>
  <c r="K184" i="12" s="1"/>
  <c r="K73" i="12"/>
  <c r="K70" i="12"/>
  <c r="K69" i="12"/>
  <c r="K68" i="12"/>
  <c r="K67" i="12"/>
  <c r="K65" i="12"/>
  <c r="K62" i="12"/>
  <c r="K61" i="12"/>
  <c r="K60" i="12"/>
  <c r="K59" i="12"/>
  <c r="K57" i="12"/>
  <c r="K54" i="12"/>
  <c r="K53" i="12"/>
  <c r="K52" i="12"/>
  <c r="K51" i="12"/>
  <c r="K49" i="12"/>
  <c r="K46" i="12"/>
  <c r="K45" i="12"/>
  <c r="K44" i="12"/>
  <c r="K43" i="12"/>
  <c r="K41" i="12"/>
  <c r="K38" i="12"/>
  <c r="K37" i="12"/>
  <c r="K36" i="12"/>
  <c r="K35" i="12"/>
  <c r="K33" i="12"/>
  <c r="K30" i="12"/>
  <c r="K29" i="12"/>
  <c r="K28" i="12"/>
  <c r="K27" i="12"/>
  <c r="K14" i="12"/>
  <c r="K12" i="12"/>
  <c r="K11" i="12"/>
  <c r="K10" i="12"/>
  <c r="K8" i="12"/>
  <c r="K7" i="12"/>
  <c r="K6" i="12"/>
  <c r="K4" i="12"/>
  <c r="K3" i="12"/>
  <c r="I64" i="12" l="1"/>
  <c r="J64" i="12" s="1"/>
  <c r="K64" i="12" s="1"/>
  <c r="J8" i="8"/>
  <c r="I14" i="11"/>
  <c r="J5" i="12"/>
  <c r="K5" i="12" s="1"/>
  <c r="E33" i="13"/>
  <c r="E35" i="13"/>
  <c r="E36" i="13" s="1"/>
  <c r="E42" i="13" s="1"/>
  <c r="E43" i="13" l="1"/>
  <c r="E45" i="13"/>
  <c r="E46" i="13" l="1"/>
  <c r="E55" i="13" s="1"/>
  <c r="E53" i="13"/>
  <c r="E60" i="13" l="1"/>
  <c r="E63" i="13"/>
  <c r="E72" i="13" s="1"/>
  <c r="E73" i="13" s="1"/>
  <c r="E79" i="13" s="1"/>
  <c r="E80" i="13" s="1"/>
  <c r="E81" i="13" s="1"/>
  <c r="E82" i="13" s="1"/>
  <c r="E83" i="13" s="1"/>
  <c r="E64" i="13"/>
  <c r="E61" i="13"/>
  <c r="I15" i="11" l="1"/>
  <c r="H19" i="8" l="1"/>
  <c r="J5" i="8" l="1"/>
  <c r="O19" i="8" s="1"/>
  <c r="J12" i="8" l="1"/>
  <c r="J7" i="8" l="1"/>
  <c r="J6" i="8"/>
  <c r="I13" i="11" s="1"/>
  <c r="O20" i="8" l="1"/>
  <c r="P20" i="8"/>
  <c r="P21" i="8" l="1"/>
  <c r="H20" i="8"/>
  <c r="J14" i="8"/>
  <c r="J9" i="8"/>
  <c r="I19" i="8" s="1"/>
  <c r="AN31" i="2"/>
  <c r="AH21" i="7"/>
  <c r="AH22" i="7"/>
  <c r="AH23" i="7"/>
  <c r="AH24" i="7"/>
  <c r="AH25" i="7"/>
  <c r="AH26" i="7"/>
  <c r="AH27" i="7"/>
  <c r="AH28" i="7"/>
  <c r="AH29" i="7"/>
  <c r="AH30" i="7"/>
  <c r="AH31" i="7"/>
  <c r="AH20" i="7"/>
  <c r="D53" i="7"/>
  <c r="N47" i="7"/>
  <c r="M47" i="7"/>
  <c r="L47" i="7"/>
  <c r="K47" i="7"/>
  <c r="J47" i="7"/>
  <c r="I47" i="7"/>
  <c r="H47" i="7"/>
  <c r="G47" i="7"/>
  <c r="F47" i="7"/>
  <c r="E47" i="7"/>
  <c r="M46" i="7"/>
  <c r="L46" i="7"/>
  <c r="K46" i="7"/>
  <c r="J46" i="7"/>
  <c r="I46" i="7"/>
  <c r="H46" i="7"/>
  <c r="G46" i="7"/>
  <c r="F46" i="7"/>
  <c r="E46" i="7"/>
  <c r="L45" i="7"/>
  <c r="K45" i="7"/>
  <c r="J45" i="7"/>
  <c r="I45" i="7"/>
  <c r="H45" i="7"/>
  <c r="G45" i="7"/>
  <c r="F45" i="7"/>
  <c r="E45" i="7"/>
  <c r="K44" i="7"/>
  <c r="J44" i="7"/>
  <c r="I44" i="7"/>
  <c r="H44" i="7"/>
  <c r="G44" i="7"/>
  <c r="F44" i="7"/>
  <c r="E44" i="7"/>
  <c r="J43" i="7"/>
  <c r="I43" i="7"/>
  <c r="H43" i="7"/>
  <c r="G43" i="7"/>
  <c r="F43" i="7"/>
  <c r="E43" i="7"/>
  <c r="I42" i="7"/>
  <c r="H42" i="7"/>
  <c r="G42" i="7"/>
  <c r="F42" i="7"/>
  <c r="E42" i="7"/>
  <c r="H41" i="7"/>
  <c r="G41" i="7"/>
  <c r="F41" i="7"/>
  <c r="E41" i="7"/>
  <c r="G40" i="7"/>
  <c r="F40" i="7"/>
  <c r="E40" i="7"/>
  <c r="F39" i="7"/>
  <c r="E39" i="7"/>
  <c r="E38" i="7"/>
  <c r="D35" i="7"/>
  <c r="D12" i="7"/>
  <c r="E12" i="7" s="1"/>
  <c r="B5" i="7"/>
  <c r="D20" i="7" s="1"/>
  <c r="F12" i="4"/>
  <c r="F13" i="4" s="1"/>
  <c r="B7" i="4"/>
  <c r="C7" i="4" s="1"/>
  <c r="I12" i="4"/>
  <c r="D53" i="2"/>
  <c r="D35" i="2"/>
  <c r="E38" i="2"/>
  <c r="E39" i="2"/>
  <c r="F39" i="2"/>
  <c r="E40" i="2"/>
  <c r="F40" i="2"/>
  <c r="G40" i="2"/>
  <c r="E41" i="2"/>
  <c r="F41" i="2"/>
  <c r="G41" i="2"/>
  <c r="H41" i="2"/>
  <c r="E42" i="2"/>
  <c r="F42" i="2"/>
  <c r="G42" i="2"/>
  <c r="H42" i="2"/>
  <c r="I42" i="2"/>
  <c r="E43" i="2"/>
  <c r="F43" i="2"/>
  <c r="G43" i="2"/>
  <c r="H43" i="2"/>
  <c r="I43" i="2"/>
  <c r="J43" i="2"/>
  <c r="E44" i="2"/>
  <c r="F44" i="2"/>
  <c r="G44" i="2"/>
  <c r="H44" i="2"/>
  <c r="I44" i="2"/>
  <c r="J44" i="2"/>
  <c r="K44" i="2"/>
  <c r="E45" i="2"/>
  <c r="F45" i="2"/>
  <c r="G45" i="2"/>
  <c r="H45" i="2"/>
  <c r="I45" i="2"/>
  <c r="J45" i="2"/>
  <c r="K45" i="2"/>
  <c r="L45" i="2"/>
  <c r="E46" i="2"/>
  <c r="F46" i="2"/>
  <c r="G46" i="2"/>
  <c r="H46" i="2"/>
  <c r="I46" i="2"/>
  <c r="J46" i="2"/>
  <c r="K46" i="2"/>
  <c r="L46" i="2"/>
  <c r="M46" i="2"/>
  <c r="E47" i="2"/>
  <c r="F47" i="2"/>
  <c r="G47" i="2"/>
  <c r="H47" i="2"/>
  <c r="I47" i="2"/>
  <c r="J47" i="2"/>
  <c r="K47" i="2"/>
  <c r="L47" i="2"/>
  <c r="M47" i="2"/>
  <c r="N47" i="2"/>
  <c r="D12" i="2"/>
  <c r="E12" i="2"/>
  <c r="F12" i="2" s="1"/>
  <c r="B5" i="2"/>
  <c r="D20" i="2" s="1"/>
  <c r="C5" i="1"/>
  <c r="F12" i="1"/>
  <c r="G13" i="1" s="1"/>
  <c r="B7" i="1"/>
  <c r="C13" i="1"/>
  <c r="J13" i="1" s="1"/>
  <c r="N24" i="4"/>
  <c r="N36" i="4"/>
  <c r="N48" i="4"/>
  <c r="N60" i="4"/>
  <c r="O21" i="8" l="1"/>
  <c r="I16" i="11"/>
  <c r="D13" i="1"/>
  <c r="G13" i="4"/>
  <c r="E54" i="2"/>
  <c r="D19" i="2"/>
  <c r="E20" i="2"/>
  <c r="D19" i="7"/>
  <c r="E20" i="7"/>
  <c r="E21" i="7" s="1"/>
  <c r="F21" i="7" s="1"/>
  <c r="G12" i="2"/>
  <c r="F12" i="7"/>
  <c r="G14" i="4"/>
  <c r="F14" i="4"/>
  <c r="J12" i="1"/>
  <c r="D13" i="4"/>
  <c r="D14" i="4" s="1"/>
  <c r="I14" i="4" s="1"/>
  <c r="E13" i="1"/>
  <c r="E53" i="7"/>
  <c r="C14" i="1"/>
  <c r="P22" i="8"/>
  <c r="H21" i="8"/>
  <c r="L18" i="8"/>
  <c r="M19" i="8" s="1"/>
  <c r="A18" i="8"/>
  <c r="B18" i="8" s="1"/>
  <c r="E19" i="8"/>
  <c r="E20" i="8" s="1"/>
  <c r="O22" i="8" l="1"/>
  <c r="F37" i="7"/>
  <c r="G21" i="7"/>
  <c r="I13" i="4"/>
  <c r="G12" i="7"/>
  <c r="F13" i="1"/>
  <c r="F15" i="4"/>
  <c r="D15" i="4"/>
  <c r="I15" i="4" s="1"/>
  <c r="G15" i="4"/>
  <c r="H12" i="2"/>
  <c r="E36" i="2"/>
  <c r="E35" i="2" s="1"/>
  <c r="E14" i="2"/>
  <c r="F54" i="2"/>
  <c r="F20" i="2"/>
  <c r="F20" i="7"/>
  <c r="E14" i="7"/>
  <c r="E36" i="7"/>
  <c r="E35" i="7" s="1"/>
  <c r="E19" i="7"/>
  <c r="E21" i="2"/>
  <c r="C15" i="1"/>
  <c r="E53" i="2"/>
  <c r="E67" i="2"/>
  <c r="J19" i="8"/>
  <c r="P23" i="8"/>
  <c r="H22" i="8"/>
  <c r="Q18" i="8"/>
  <c r="A19" i="8"/>
  <c r="E21" i="8"/>
  <c r="O23" i="8" l="1"/>
  <c r="Q19" i="8"/>
  <c r="L14" i="11" s="1"/>
  <c r="F36" i="7"/>
  <c r="F35" i="7" s="1"/>
  <c r="F14" i="7"/>
  <c r="G20" i="7"/>
  <c r="H12" i="7"/>
  <c r="F22" i="7"/>
  <c r="G22" i="7" s="1"/>
  <c r="G54" i="2"/>
  <c r="F14" i="2"/>
  <c r="F36" i="2"/>
  <c r="G20" i="2"/>
  <c r="F21" i="2"/>
  <c r="F55" i="2"/>
  <c r="F67" i="2" s="1"/>
  <c r="F53" i="2"/>
  <c r="F16" i="4"/>
  <c r="D16" i="4"/>
  <c r="G16" i="4"/>
  <c r="C16" i="1"/>
  <c r="E49" i="7"/>
  <c r="F53" i="7"/>
  <c r="G37" i="7"/>
  <c r="H21" i="7"/>
  <c r="E19" i="2"/>
  <c r="I12" i="2"/>
  <c r="D14" i="1"/>
  <c r="G14" i="1"/>
  <c r="K19" i="8"/>
  <c r="P24" i="8"/>
  <c r="H23" i="8"/>
  <c r="E22" i="8"/>
  <c r="A20" i="8"/>
  <c r="B19" i="8"/>
  <c r="O24" i="8" l="1"/>
  <c r="L13" i="11"/>
  <c r="G23" i="7"/>
  <c r="H23" i="7" s="1"/>
  <c r="F19" i="7"/>
  <c r="H39" i="7"/>
  <c r="I23" i="7"/>
  <c r="F17" i="4"/>
  <c r="G17" i="4"/>
  <c r="D17" i="4"/>
  <c r="I17" i="4" s="1"/>
  <c r="G55" i="2"/>
  <c r="F37" i="2"/>
  <c r="F35" i="2" s="1"/>
  <c r="G21" i="2"/>
  <c r="I12" i="7"/>
  <c r="J14" i="1"/>
  <c r="F22" i="2"/>
  <c r="G36" i="2"/>
  <c r="H54" i="2"/>
  <c r="H20" i="2"/>
  <c r="G14" i="2"/>
  <c r="J12" i="2"/>
  <c r="E14" i="1"/>
  <c r="E49" i="2"/>
  <c r="C17" i="1"/>
  <c r="H20" i="7"/>
  <c r="G36" i="7"/>
  <c r="G35" i="7" s="1"/>
  <c r="G14" i="7"/>
  <c r="G19" i="7"/>
  <c r="H37" i="7"/>
  <c r="I21" i="7"/>
  <c r="F49" i="7"/>
  <c r="G53" i="7"/>
  <c r="I16" i="4"/>
  <c r="H22" i="7"/>
  <c r="G38" i="7"/>
  <c r="L19" i="8"/>
  <c r="P25" i="8"/>
  <c r="H24" i="8"/>
  <c r="A21" i="8"/>
  <c r="B20" i="8"/>
  <c r="E23" i="8"/>
  <c r="I20" i="8" l="1"/>
  <c r="M20" i="8"/>
  <c r="O25" i="8"/>
  <c r="H14" i="7"/>
  <c r="I20" i="7"/>
  <c r="H36" i="7"/>
  <c r="G22" i="2"/>
  <c r="G56" i="2"/>
  <c r="I22" i="7"/>
  <c r="H38" i="7"/>
  <c r="G23" i="2"/>
  <c r="F14" i="1"/>
  <c r="K12" i="2"/>
  <c r="J21" i="7"/>
  <c r="I37" i="7"/>
  <c r="F19" i="2"/>
  <c r="D18" i="4"/>
  <c r="F18" i="4"/>
  <c r="G18" i="4"/>
  <c r="I20" i="2"/>
  <c r="H36" i="2"/>
  <c r="H14" i="2"/>
  <c r="I54" i="2"/>
  <c r="J12" i="7"/>
  <c r="H24" i="7"/>
  <c r="I24" i="7" s="1"/>
  <c r="C18" i="1"/>
  <c r="J23" i="7"/>
  <c r="I39" i="7"/>
  <c r="G49" i="7"/>
  <c r="H53" i="7"/>
  <c r="H21" i="2"/>
  <c r="H55" i="2"/>
  <c r="G37" i="2"/>
  <c r="J20" i="8"/>
  <c r="P26" i="8"/>
  <c r="H25" i="8"/>
  <c r="E24" i="8"/>
  <c r="B21" i="8"/>
  <c r="A22" i="8"/>
  <c r="O26" i="8" l="1"/>
  <c r="H35" i="7"/>
  <c r="Q20" i="8"/>
  <c r="G67" i="2"/>
  <c r="G53" i="2"/>
  <c r="K21" i="7"/>
  <c r="J37" i="7"/>
  <c r="L12" i="2"/>
  <c r="H22" i="2"/>
  <c r="G38" i="2"/>
  <c r="G35" i="2" s="1"/>
  <c r="H56" i="2"/>
  <c r="G19" i="2"/>
  <c r="K23" i="7"/>
  <c r="J39" i="7"/>
  <c r="K12" i="7"/>
  <c r="D15" i="1"/>
  <c r="G15" i="1"/>
  <c r="H19" i="7"/>
  <c r="I40" i="7"/>
  <c r="J24" i="7"/>
  <c r="F19" i="4"/>
  <c r="D19" i="4"/>
  <c r="I19" i="4" s="1"/>
  <c r="G19" i="4"/>
  <c r="I36" i="7"/>
  <c r="I14" i="7"/>
  <c r="J20" i="7"/>
  <c r="H23" i="2"/>
  <c r="H57" i="2"/>
  <c r="H53" i="2" s="1"/>
  <c r="I18" i="4"/>
  <c r="J22" i="7"/>
  <c r="I38" i="7"/>
  <c r="I25" i="7"/>
  <c r="J25" i="7" s="1"/>
  <c r="I21" i="2"/>
  <c r="I55" i="2"/>
  <c r="H37" i="2"/>
  <c r="C19" i="1"/>
  <c r="J20" i="2"/>
  <c r="I36" i="2"/>
  <c r="I14" i="2"/>
  <c r="J54" i="2"/>
  <c r="F49" i="2"/>
  <c r="K20" i="8"/>
  <c r="P27" i="8"/>
  <c r="H26" i="8"/>
  <c r="B22" i="8"/>
  <c r="A23" i="8"/>
  <c r="E25" i="8"/>
  <c r="O27" i="8" l="1"/>
  <c r="L20" i="8"/>
  <c r="J21" i="8" s="1"/>
  <c r="I35" i="7"/>
  <c r="H49" i="7"/>
  <c r="I53" i="7"/>
  <c r="K39" i="7"/>
  <c r="L23" i="7"/>
  <c r="J55" i="2"/>
  <c r="I37" i="2"/>
  <c r="J21" i="2"/>
  <c r="H39" i="2"/>
  <c r="I23" i="2"/>
  <c r="I57" i="2"/>
  <c r="H24" i="2"/>
  <c r="K25" i="7"/>
  <c r="J41" i="7"/>
  <c r="J15" i="1"/>
  <c r="M12" i="2"/>
  <c r="K54" i="2"/>
  <c r="J36" i="2"/>
  <c r="K20" i="2"/>
  <c r="J14" i="2"/>
  <c r="H67" i="2"/>
  <c r="J38" i="7"/>
  <c r="K22" i="7"/>
  <c r="J26" i="7"/>
  <c r="K26" i="7" s="1"/>
  <c r="F20" i="4"/>
  <c r="G20" i="4"/>
  <c r="D20" i="4"/>
  <c r="E15" i="1"/>
  <c r="K37" i="7"/>
  <c r="L21" i="7"/>
  <c r="G49" i="2"/>
  <c r="C20" i="1"/>
  <c r="I19" i="7"/>
  <c r="I22" i="2"/>
  <c r="H38" i="2"/>
  <c r="I56" i="2"/>
  <c r="J36" i="7"/>
  <c r="K20" i="7"/>
  <c r="J14" i="7"/>
  <c r="J40" i="7"/>
  <c r="K24" i="7"/>
  <c r="L12" i="7"/>
  <c r="P28" i="8"/>
  <c r="H27" i="8"/>
  <c r="E26" i="8"/>
  <c r="A24" i="8"/>
  <c r="B23" i="8"/>
  <c r="O28" i="8" l="1"/>
  <c r="I21" i="8"/>
  <c r="K21" i="8" s="1"/>
  <c r="M21" i="8"/>
  <c r="K27" i="7"/>
  <c r="L27" i="7" s="1"/>
  <c r="J19" i="7"/>
  <c r="H35" i="2"/>
  <c r="I24" i="2"/>
  <c r="I58" i="2"/>
  <c r="I53" i="2" s="1"/>
  <c r="I25" i="2"/>
  <c r="F15" i="1"/>
  <c r="C21" i="1"/>
  <c r="I20" i="4"/>
  <c r="L20" i="2"/>
  <c r="K14" i="2"/>
  <c r="K36" i="2"/>
  <c r="L54" i="2"/>
  <c r="N12" i="2"/>
  <c r="J23" i="2"/>
  <c r="I39" i="2"/>
  <c r="J57" i="2"/>
  <c r="K36" i="7"/>
  <c r="K14" i="7"/>
  <c r="K19" i="7"/>
  <c r="L20" i="7"/>
  <c r="H19" i="2"/>
  <c r="H49" i="2" s="1"/>
  <c r="L43" i="7"/>
  <c r="M27" i="7"/>
  <c r="K53" i="7"/>
  <c r="F21" i="4"/>
  <c r="D21" i="4"/>
  <c r="I21" i="4" s="1"/>
  <c r="G21" i="4"/>
  <c r="K21" i="2"/>
  <c r="K55" i="2"/>
  <c r="J37" i="2"/>
  <c r="J35" i="7"/>
  <c r="J49" i="7" s="1"/>
  <c r="K42" i="7"/>
  <c r="L26" i="7"/>
  <c r="L22" i="7"/>
  <c r="K38" i="7"/>
  <c r="M12" i="7"/>
  <c r="I38" i="2"/>
  <c r="J22" i="2"/>
  <c r="J56" i="2"/>
  <c r="L37" i="7"/>
  <c r="M21" i="7"/>
  <c r="K40" i="7"/>
  <c r="L24" i="7"/>
  <c r="I49" i="7"/>
  <c r="J53" i="7"/>
  <c r="L25" i="7"/>
  <c r="K41" i="7"/>
  <c r="M23" i="7"/>
  <c r="L39" i="7"/>
  <c r="P29" i="8"/>
  <c r="H28" i="8"/>
  <c r="A25" i="8"/>
  <c r="B24" i="8"/>
  <c r="E27" i="8"/>
  <c r="Q21" i="8" l="1"/>
  <c r="O29" i="8"/>
  <c r="I67" i="2"/>
  <c r="M20" i="7"/>
  <c r="L36" i="7"/>
  <c r="L14" i="7"/>
  <c r="K22" i="2"/>
  <c r="J38" i="2"/>
  <c r="K56" i="2"/>
  <c r="L42" i="7"/>
  <c r="M26" i="7"/>
  <c r="K23" i="2"/>
  <c r="J39" i="2"/>
  <c r="K57" i="2"/>
  <c r="J25" i="2"/>
  <c r="J59" i="2"/>
  <c r="N23" i="7"/>
  <c r="M39" i="7"/>
  <c r="N12" i="7"/>
  <c r="L28" i="7"/>
  <c r="M28" i="7" s="1"/>
  <c r="M37" i="7"/>
  <c r="N21" i="7"/>
  <c r="F22" i="4"/>
  <c r="G22" i="4"/>
  <c r="D22" i="4"/>
  <c r="I22" i="4" s="1"/>
  <c r="K49" i="7"/>
  <c r="L53" i="7"/>
  <c r="O12" i="2"/>
  <c r="I40" i="2"/>
  <c r="I35" i="2" s="1"/>
  <c r="J24" i="2"/>
  <c r="J26" i="2" s="1"/>
  <c r="J58" i="2"/>
  <c r="J67" i="2" s="1"/>
  <c r="L36" i="2"/>
  <c r="M54" i="2"/>
  <c r="L14" i="2"/>
  <c r="M20" i="2"/>
  <c r="L55" i="2"/>
  <c r="L21" i="2"/>
  <c r="K37" i="2"/>
  <c r="K35" i="7"/>
  <c r="M25" i="7"/>
  <c r="L41" i="7"/>
  <c r="M22" i="7"/>
  <c r="L38" i="7"/>
  <c r="M43" i="7"/>
  <c r="N27" i="7"/>
  <c r="C22" i="1"/>
  <c r="I19" i="2"/>
  <c r="L40" i="7"/>
  <c r="M24" i="7"/>
  <c r="D16" i="1"/>
  <c r="G16" i="1"/>
  <c r="L21" i="8"/>
  <c r="M22" i="8" s="1"/>
  <c r="P30" i="8"/>
  <c r="H29" i="8"/>
  <c r="E28" i="8"/>
  <c r="A26" i="8"/>
  <c r="B25" i="8"/>
  <c r="O30" i="8" l="1"/>
  <c r="J53" i="2"/>
  <c r="K26" i="2"/>
  <c r="K60" i="2"/>
  <c r="I49" i="2"/>
  <c r="M21" i="2"/>
  <c r="M55" i="2"/>
  <c r="L37" i="2"/>
  <c r="M44" i="7"/>
  <c r="N28" i="7"/>
  <c r="L35" i="7"/>
  <c r="J16" i="1"/>
  <c r="O12" i="7"/>
  <c r="E16" i="1"/>
  <c r="N22" i="7"/>
  <c r="M38" i="7"/>
  <c r="N26" i="7"/>
  <c r="M42" i="7"/>
  <c r="L19" i="7"/>
  <c r="C23" i="1"/>
  <c r="K24" i="2"/>
  <c r="J40" i="2"/>
  <c r="J35" i="2" s="1"/>
  <c r="K58" i="2"/>
  <c r="M36" i="7"/>
  <c r="M14" i="7"/>
  <c r="N20" i="7"/>
  <c r="M14" i="2"/>
  <c r="N54" i="2"/>
  <c r="N20" i="2"/>
  <c r="M36" i="2"/>
  <c r="M29" i="7"/>
  <c r="N29" i="7" s="1"/>
  <c r="L23" i="2"/>
  <c r="K39" i="2"/>
  <c r="L57" i="2"/>
  <c r="J19" i="2"/>
  <c r="N25" i="7"/>
  <c r="M41" i="7"/>
  <c r="F23" i="4"/>
  <c r="D23" i="4"/>
  <c r="I23" i="4" s="1"/>
  <c r="G23" i="4"/>
  <c r="N39" i="7"/>
  <c r="O23" i="7"/>
  <c r="K67" i="2"/>
  <c r="N37" i="7"/>
  <c r="O21" i="7"/>
  <c r="N24" i="7"/>
  <c r="M40" i="7"/>
  <c r="N43" i="7"/>
  <c r="O27" i="7"/>
  <c r="K25" i="2"/>
  <c r="J41" i="2"/>
  <c r="K59" i="2"/>
  <c r="K38" i="2"/>
  <c r="L22" i="2"/>
  <c r="L56" i="2"/>
  <c r="J22" i="8"/>
  <c r="I22" i="8"/>
  <c r="P31" i="8"/>
  <c r="H30" i="8"/>
  <c r="A27" i="8"/>
  <c r="B26" i="8"/>
  <c r="E29" i="8"/>
  <c r="O31" i="8" l="1"/>
  <c r="M19" i="7"/>
  <c r="N30" i="7"/>
  <c r="O30" i="7" s="1"/>
  <c r="K53" i="2"/>
  <c r="Q22" i="8"/>
  <c r="L26" i="2"/>
  <c r="K42" i="2"/>
  <c r="L60" i="2"/>
  <c r="M22" i="2"/>
  <c r="M56" i="2"/>
  <c r="L38" i="2"/>
  <c r="O25" i="7"/>
  <c r="N41" i="7"/>
  <c r="N53" i="7"/>
  <c r="N21" i="2"/>
  <c r="N55" i="2"/>
  <c r="M37" i="2"/>
  <c r="P27" i="7"/>
  <c r="Q27" i="7" s="1"/>
  <c r="R27" i="7" s="1"/>
  <c r="S27" i="7" s="1"/>
  <c r="T27" i="7" s="1"/>
  <c r="U27" i="7" s="1"/>
  <c r="V27" i="7" s="1"/>
  <c r="W27" i="7" s="1"/>
  <c r="O43" i="7"/>
  <c r="O20" i="2"/>
  <c r="N14" i="2"/>
  <c r="N36" i="2"/>
  <c r="O54" i="2"/>
  <c r="K27" i="2"/>
  <c r="K41" i="2"/>
  <c r="L25" i="2"/>
  <c r="L59" i="2"/>
  <c r="M23" i="2"/>
  <c r="L39" i="2"/>
  <c r="M57" i="2"/>
  <c r="N19" i="7"/>
  <c r="N36" i="7"/>
  <c r="N14" i="7"/>
  <c r="O20" i="7"/>
  <c r="C24" i="1"/>
  <c r="O22" i="7"/>
  <c r="N38" i="7"/>
  <c r="O28" i="7"/>
  <c r="N44" i="7"/>
  <c r="L49" i="7"/>
  <c r="M53" i="7"/>
  <c r="O39" i="7"/>
  <c r="P23" i="7"/>
  <c r="Q23" i="7" s="1"/>
  <c r="R23" i="7" s="1"/>
  <c r="S23" i="7" s="1"/>
  <c r="O37" i="7"/>
  <c r="P21" i="7"/>
  <c r="Q21" i="7" s="1"/>
  <c r="F24" i="4"/>
  <c r="G24" i="4"/>
  <c r="M24" i="4" s="1"/>
  <c r="D24" i="4"/>
  <c r="J24" i="4"/>
  <c r="O29" i="7"/>
  <c r="N45" i="7"/>
  <c r="P30" i="7"/>
  <c r="Q30" i="7" s="1"/>
  <c r="R30" i="7" s="1"/>
  <c r="S30" i="7" s="1"/>
  <c r="T30" i="7" s="1"/>
  <c r="U30" i="7" s="1"/>
  <c r="V30" i="7" s="1"/>
  <c r="W30" i="7" s="1"/>
  <c r="X30" i="7" s="1"/>
  <c r="Y30" i="7" s="1"/>
  <c r="Z30" i="7" s="1"/>
  <c r="O46" i="7"/>
  <c r="J49" i="2"/>
  <c r="O26" i="7"/>
  <c r="N42" i="7"/>
  <c r="O24" i="7"/>
  <c r="O31" i="7" s="1"/>
  <c r="P31" i="7" s="1"/>
  <c r="Q31" i="7" s="1"/>
  <c r="R31" i="7" s="1"/>
  <c r="S31" i="7" s="1"/>
  <c r="T31" i="7" s="1"/>
  <c r="U31" i="7" s="1"/>
  <c r="V31" i="7" s="1"/>
  <c r="W31" i="7" s="1"/>
  <c r="X31" i="7" s="1"/>
  <c r="Y31" i="7" s="1"/>
  <c r="Z31" i="7" s="1"/>
  <c r="N40" i="7"/>
  <c r="K40" i="2"/>
  <c r="L24" i="2"/>
  <c r="L58" i="2"/>
  <c r="M35" i="7"/>
  <c r="M49" i="7" s="1"/>
  <c r="F16" i="1"/>
  <c r="K22" i="8"/>
  <c r="P32" i="8"/>
  <c r="H31" i="8"/>
  <c r="E30" i="8"/>
  <c r="A28" i="8"/>
  <c r="B27" i="8"/>
  <c r="O32" i="8" l="1"/>
  <c r="L22" i="8"/>
  <c r="M23" i="8" s="1"/>
  <c r="K35" i="2"/>
  <c r="M24" i="2"/>
  <c r="L40" i="2"/>
  <c r="M58" i="2"/>
  <c r="F25" i="4"/>
  <c r="G25" i="4"/>
  <c r="D25" i="4"/>
  <c r="P20" i="7"/>
  <c r="O19" i="7"/>
  <c r="O14" i="7"/>
  <c r="O36" i="7"/>
  <c r="O55" i="2"/>
  <c r="O21" i="2"/>
  <c r="N37" i="2"/>
  <c r="O44" i="7"/>
  <c r="P28" i="7"/>
  <c r="Q28" i="7" s="1"/>
  <c r="R28" i="7" s="1"/>
  <c r="S28" i="7" s="1"/>
  <c r="T28" i="7" s="1"/>
  <c r="U28" i="7" s="1"/>
  <c r="V28" i="7" s="1"/>
  <c r="W28" i="7" s="1"/>
  <c r="X28" i="7" s="1"/>
  <c r="P20" i="2"/>
  <c r="O14" i="2"/>
  <c r="O36" i="2"/>
  <c r="N35" i="7"/>
  <c r="M25" i="2"/>
  <c r="L41" i="2"/>
  <c r="M59" i="2"/>
  <c r="O45" i="7"/>
  <c r="P29" i="7"/>
  <c r="Q29" i="7" s="1"/>
  <c r="R29" i="7" s="1"/>
  <c r="S29" i="7" s="1"/>
  <c r="T29" i="7" s="1"/>
  <c r="U29" i="7" s="1"/>
  <c r="V29" i="7" s="1"/>
  <c r="W29" i="7" s="1"/>
  <c r="X29" i="7" s="1"/>
  <c r="Y29" i="7" s="1"/>
  <c r="O38" i="7"/>
  <c r="P22" i="7"/>
  <c r="Q22" i="7" s="1"/>
  <c r="R22" i="7" s="1"/>
  <c r="N49" i="7"/>
  <c r="O53" i="7"/>
  <c r="M26" i="2"/>
  <c r="L42" i="2"/>
  <c r="M60" i="2"/>
  <c r="L27" i="2"/>
  <c r="L61" i="2"/>
  <c r="N22" i="2"/>
  <c r="M38" i="2"/>
  <c r="N56" i="2"/>
  <c r="C25" i="1"/>
  <c r="K19" i="2"/>
  <c r="K49" i="2" s="1"/>
  <c r="I24" i="4"/>
  <c r="L24" i="4"/>
  <c r="O24" i="4" s="1"/>
  <c r="P24" i="4" s="1"/>
  <c r="Q24" i="4" s="1"/>
  <c r="R24" i="4" s="1"/>
  <c r="P25" i="7"/>
  <c r="Q25" i="7" s="1"/>
  <c r="R25" i="7" s="1"/>
  <c r="S25" i="7" s="1"/>
  <c r="T25" i="7" s="1"/>
  <c r="U25" i="7" s="1"/>
  <c r="O41" i="7"/>
  <c r="P24" i="7"/>
  <c r="Q24" i="7" s="1"/>
  <c r="R24" i="7" s="1"/>
  <c r="S24" i="7" s="1"/>
  <c r="T24" i="7" s="1"/>
  <c r="O40" i="7"/>
  <c r="D17" i="1"/>
  <c r="G17" i="1"/>
  <c r="P26" i="7"/>
  <c r="Q26" i="7" s="1"/>
  <c r="R26" i="7" s="1"/>
  <c r="S26" i="7" s="1"/>
  <c r="T26" i="7" s="1"/>
  <c r="U26" i="7" s="1"/>
  <c r="V26" i="7" s="1"/>
  <c r="O42" i="7"/>
  <c r="M39" i="2"/>
  <c r="N23" i="2"/>
  <c r="N57" i="2"/>
  <c r="P33" i="8"/>
  <c r="H32" i="8"/>
  <c r="A29" i="8"/>
  <c r="B28" i="8"/>
  <c r="E31" i="8"/>
  <c r="J23" i="8" l="1"/>
  <c r="I23" i="8"/>
  <c r="Q23" i="8" s="1"/>
  <c r="O33" i="8"/>
  <c r="L43" i="2"/>
  <c r="L35" i="2" s="1"/>
  <c r="M27" i="2"/>
  <c r="M61" i="2"/>
  <c r="L28" i="2"/>
  <c r="L19" i="2" s="1"/>
  <c r="L49" i="2" s="1"/>
  <c r="N26" i="2"/>
  <c r="M42" i="2"/>
  <c r="N60" i="2"/>
  <c r="O35" i="7"/>
  <c r="F26" i="4"/>
  <c r="D26" i="4"/>
  <c r="I26" i="4" s="1"/>
  <c r="G26" i="4"/>
  <c r="J17" i="1"/>
  <c r="P14" i="2"/>
  <c r="P32" i="7"/>
  <c r="P19" i="7" s="1"/>
  <c r="E17" i="1"/>
  <c r="C26" i="1"/>
  <c r="I25" i="4"/>
  <c r="O23" i="2"/>
  <c r="N39" i="2"/>
  <c r="O57" i="2"/>
  <c r="K24" i="4"/>
  <c r="I5" i="4"/>
  <c r="O22" i="2"/>
  <c r="O56" i="2"/>
  <c r="N38" i="2"/>
  <c r="O49" i="7"/>
  <c r="P53" i="7"/>
  <c r="AE20" i="7" s="1" a="1"/>
  <c r="P21" i="2"/>
  <c r="Q21" i="2" s="1"/>
  <c r="O37" i="2"/>
  <c r="N25" i="2"/>
  <c r="M41" i="2"/>
  <c r="N59" i="2"/>
  <c r="L67" i="2"/>
  <c r="L53" i="2"/>
  <c r="P14" i="7"/>
  <c r="M40" i="2"/>
  <c r="N24" i="2"/>
  <c r="N58" i="2"/>
  <c r="P34" i="8"/>
  <c r="H33" i="8"/>
  <c r="E32" i="8"/>
  <c r="A30" i="8"/>
  <c r="B29" i="8"/>
  <c r="K23" i="8" l="1"/>
  <c r="L23" i="8" s="1"/>
  <c r="M24" i="8" s="1"/>
  <c r="O34" i="8"/>
  <c r="O25" i="2"/>
  <c r="N41" i="2"/>
  <c r="O59" i="2"/>
  <c r="P22" i="2"/>
  <c r="Q22" i="2" s="1"/>
  <c r="R22" i="2" s="1"/>
  <c r="O38" i="2"/>
  <c r="C27" i="1"/>
  <c r="N42" i="2"/>
  <c r="O26" i="2"/>
  <c r="O60" i="2"/>
  <c r="AE25" i="7"/>
  <c r="AE30" i="7"/>
  <c r="AE21" i="7"/>
  <c r="AE26" i="7"/>
  <c r="AE31" i="7"/>
  <c r="AE22" i="7"/>
  <c r="AE27" i="7"/>
  <c r="AE23" i="7"/>
  <c r="AE28" i="7"/>
  <c r="AE29" i="7"/>
  <c r="AE20" i="7"/>
  <c r="AE24" i="7"/>
  <c r="F17" i="1"/>
  <c r="M28" i="2"/>
  <c r="M62" i="2"/>
  <c r="O39" i="2"/>
  <c r="P23" i="2"/>
  <c r="Q23" i="2" s="1"/>
  <c r="R23" i="2" s="1"/>
  <c r="S23" i="2" s="1"/>
  <c r="P47" i="7"/>
  <c r="P35" i="7" s="1"/>
  <c r="AF20" i="7" s="1" a="1"/>
  <c r="AG19" i="7" a="1"/>
  <c r="M43" i="2"/>
  <c r="N27" i="2"/>
  <c r="N61" i="2"/>
  <c r="O24" i="2"/>
  <c r="N40" i="2"/>
  <c r="O58" i="2"/>
  <c r="F27" i="4"/>
  <c r="G27" i="4"/>
  <c r="D27" i="4"/>
  <c r="P35" i="8"/>
  <c r="H34" i="8"/>
  <c r="B30" i="8"/>
  <c r="A31" i="8"/>
  <c r="E33" i="8"/>
  <c r="J24" i="8" l="1"/>
  <c r="I24" i="8"/>
  <c r="Q24" i="8" s="1"/>
  <c r="O35" i="8"/>
  <c r="P49" i="7"/>
  <c r="O40" i="2"/>
  <c r="P24" i="2"/>
  <c r="Q24" i="2" s="1"/>
  <c r="R24" i="2" s="1"/>
  <c r="S24" i="2" s="1"/>
  <c r="T24" i="2" s="1"/>
  <c r="AE32" i="7"/>
  <c r="O41" i="2"/>
  <c r="P25" i="2"/>
  <c r="Q25" i="2" s="1"/>
  <c r="R25" i="2" s="1"/>
  <c r="S25" i="2" s="1"/>
  <c r="T25" i="2" s="1"/>
  <c r="U25" i="2" s="1"/>
  <c r="C28" i="1"/>
  <c r="I27" i="4"/>
  <c r="F28" i="4"/>
  <c r="D28" i="4"/>
  <c r="I28" i="4" s="1"/>
  <c r="G28" i="4"/>
  <c r="O27" i="2"/>
  <c r="N43" i="2"/>
  <c r="O61" i="2"/>
  <c r="M67" i="2"/>
  <c r="M53" i="2"/>
  <c r="AK28" i="7"/>
  <c r="AK25" i="7"/>
  <c r="N28" i="2"/>
  <c r="M44" i="2"/>
  <c r="M35" i="2" s="1"/>
  <c r="N62" i="2"/>
  <c r="M29" i="2"/>
  <c r="AK27" i="7"/>
  <c r="O42" i="2"/>
  <c r="P26" i="2"/>
  <c r="Q26" i="2" s="1"/>
  <c r="R26" i="2" s="1"/>
  <c r="S26" i="2" s="1"/>
  <c r="T26" i="2" s="1"/>
  <c r="U26" i="2" s="1"/>
  <c r="V26" i="2" s="1"/>
  <c r="AG28" i="7"/>
  <c r="AK29" i="7" s="1"/>
  <c r="AG25" i="7"/>
  <c r="AK26" i="7" s="1"/>
  <c r="AG31" i="7"/>
  <c r="AG24" i="7"/>
  <c r="AG27" i="7"/>
  <c r="AG30" i="7"/>
  <c r="AG26" i="7"/>
  <c r="AG20" i="7"/>
  <c r="AK21" i="7" s="1"/>
  <c r="AG23" i="7"/>
  <c r="AK24" i="7" s="1"/>
  <c r="AG21" i="7"/>
  <c r="AG19" i="7"/>
  <c r="AK20" i="7" s="1"/>
  <c r="AG22" i="7"/>
  <c r="AK23" i="7" s="1"/>
  <c r="AG29" i="7"/>
  <c r="AK30" i="7" s="1"/>
  <c r="D18" i="1"/>
  <c r="G18" i="1"/>
  <c r="AK22" i="7"/>
  <c r="AF24" i="7"/>
  <c r="AF29" i="7"/>
  <c r="AF20" i="7"/>
  <c r="AF25" i="7"/>
  <c r="AF27" i="7"/>
  <c r="AF21" i="7"/>
  <c r="AF31" i="7"/>
  <c r="AF30" i="7"/>
  <c r="AF28" i="7"/>
  <c r="AF23" i="7"/>
  <c r="AF26" i="7"/>
  <c r="AF22" i="7"/>
  <c r="P36" i="8"/>
  <c r="H35" i="8"/>
  <c r="E34" i="8"/>
  <c r="A32" i="8"/>
  <c r="B31" i="8"/>
  <c r="K24" i="8" l="1"/>
  <c r="L24" i="8" s="1"/>
  <c r="M25" i="8" s="1"/>
  <c r="O36" i="8"/>
  <c r="AD23" i="7"/>
  <c r="AJ23" i="7" s="1"/>
  <c r="AB23" i="7"/>
  <c r="AD29" i="7"/>
  <c r="AJ29" i="7" s="1"/>
  <c r="AB29" i="7"/>
  <c r="F29" i="4"/>
  <c r="D29" i="4"/>
  <c r="I29" i="4" s="1"/>
  <c r="G29" i="4"/>
  <c r="AD31" i="7"/>
  <c r="AJ31" i="7" s="1"/>
  <c r="AB31" i="7"/>
  <c r="AB21" i="7"/>
  <c r="AD21" i="7"/>
  <c r="AJ21" i="7" s="1"/>
  <c r="J18" i="1"/>
  <c r="N29" i="2"/>
  <c r="N63" i="2"/>
  <c r="N30" i="2"/>
  <c r="M19" i="2"/>
  <c r="M49" i="2" s="1"/>
  <c r="AD30" i="7"/>
  <c r="AJ30" i="7" s="1"/>
  <c r="AB30" i="7"/>
  <c r="AD24" i="7"/>
  <c r="AJ24" i="7" s="1"/>
  <c r="AB24" i="7"/>
  <c r="AD27" i="7"/>
  <c r="AJ27" i="7" s="1"/>
  <c r="AB27" i="7"/>
  <c r="AD28" i="7"/>
  <c r="AJ28" i="7" s="1"/>
  <c r="AB28" i="7"/>
  <c r="AJ19" i="7"/>
  <c r="AB19" i="7"/>
  <c r="AG32" i="7"/>
  <c r="AK32" i="7" s="1"/>
  <c r="AK31" i="7"/>
  <c r="AD22" i="7"/>
  <c r="AJ22" i="7" s="1"/>
  <c r="AB22" i="7"/>
  <c r="AB25" i="7"/>
  <c r="AD25" i="7"/>
  <c r="AJ25" i="7" s="1"/>
  <c r="E18" i="1"/>
  <c r="F18" i="1" s="1"/>
  <c r="AD26" i="7"/>
  <c r="AJ26" i="7" s="1"/>
  <c r="AB26" i="7"/>
  <c r="AB20" i="7"/>
  <c r="AD20" i="7"/>
  <c r="AJ20" i="7" s="1"/>
  <c r="O28" i="2"/>
  <c r="N44" i="2"/>
  <c r="O62" i="2"/>
  <c r="O43" i="2"/>
  <c r="P27" i="2"/>
  <c r="Q27" i="2" s="1"/>
  <c r="R27" i="2" s="1"/>
  <c r="S27" i="2" s="1"/>
  <c r="T27" i="2" s="1"/>
  <c r="U27" i="2" s="1"/>
  <c r="V27" i="2" s="1"/>
  <c r="W27" i="2" s="1"/>
  <c r="C29" i="1"/>
  <c r="P37" i="8"/>
  <c r="H36" i="8"/>
  <c r="B32" i="8"/>
  <c r="A33" i="8"/>
  <c r="E35" i="8"/>
  <c r="J25" i="8" l="1"/>
  <c r="I25" i="8"/>
  <c r="Q25" i="8" s="1"/>
  <c r="O37" i="8"/>
  <c r="N45" i="2"/>
  <c r="N35" i="2" s="1"/>
  <c r="O29" i="2"/>
  <c r="O63" i="2"/>
  <c r="G19" i="1"/>
  <c r="J19" i="1" s="1"/>
  <c r="D19" i="1"/>
  <c r="E19" i="1" s="1"/>
  <c r="F19" i="1" s="1"/>
  <c r="AJ12" i="7"/>
  <c r="AJ13" i="7" s="1"/>
  <c r="AJ11" i="7"/>
  <c r="O30" i="2"/>
  <c r="O31" i="2" s="1"/>
  <c r="O64" i="2"/>
  <c r="N19" i="2"/>
  <c r="N49" i="2" s="1"/>
  <c r="F30" i="4"/>
  <c r="D30" i="4"/>
  <c r="G30" i="4"/>
  <c r="C30" i="1"/>
  <c r="P28" i="2"/>
  <c r="Q28" i="2" s="1"/>
  <c r="R28" i="2" s="1"/>
  <c r="S28" i="2" s="1"/>
  <c r="T28" i="2" s="1"/>
  <c r="U28" i="2" s="1"/>
  <c r="V28" i="2" s="1"/>
  <c r="W28" i="2" s="1"/>
  <c r="X28" i="2" s="1"/>
  <c r="O44" i="2"/>
  <c r="N53" i="2"/>
  <c r="N67" i="2"/>
  <c r="P38" i="8"/>
  <c r="H37" i="8"/>
  <c r="A34" i="8"/>
  <c r="B33" i="8"/>
  <c r="E36" i="8"/>
  <c r="K25" i="8" l="1"/>
  <c r="L25" i="8" s="1"/>
  <c r="O38" i="8"/>
  <c r="P31" i="2"/>
  <c r="Q31" i="2" s="1"/>
  <c r="R31" i="2" s="1"/>
  <c r="S31" i="2" s="1"/>
  <c r="T31" i="2" s="1"/>
  <c r="U31" i="2" s="1"/>
  <c r="V31" i="2" s="1"/>
  <c r="W31" i="2" s="1"/>
  <c r="X31" i="2" s="1"/>
  <c r="Y31" i="2" s="1"/>
  <c r="Z31" i="2" s="1"/>
  <c r="O19" i="2"/>
  <c r="G20" i="1"/>
  <c r="J20" i="1" s="1"/>
  <c r="D20" i="1"/>
  <c r="E20" i="1" s="1"/>
  <c r="F20" i="1" s="1"/>
  <c r="F31" i="4"/>
  <c r="G31" i="4"/>
  <c r="D31" i="4"/>
  <c r="I31" i="4" s="1"/>
  <c r="O67" i="2"/>
  <c r="P67" i="2" s="1"/>
  <c r="O53" i="2"/>
  <c r="P53" i="2" s="1"/>
  <c r="AE20" i="2" s="1" a="1"/>
  <c r="P30" i="2"/>
  <c r="Q30" i="2" s="1"/>
  <c r="R30" i="2" s="1"/>
  <c r="S30" i="2" s="1"/>
  <c r="T30" i="2" s="1"/>
  <c r="U30" i="2" s="1"/>
  <c r="V30" i="2" s="1"/>
  <c r="W30" i="2" s="1"/>
  <c r="X30" i="2" s="1"/>
  <c r="Y30" i="2" s="1"/>
  <c r="Z30" i="2" s="1"/>
  <c r="O46" i="2"/>
  <c r="O45" i="2"/>
  <c r="P29" i="2"/>
  <c r="Q29" i="2" s="1"/>
  <c r="R29" i="2" s="1"/>
  <c r="S29" i="2" s="1"/>
  <c r="T29" i="2" s="1"/>
  <c r="U29" i="2" s="1"/>
  <c r="V29" i="2" s="1"/>
  <c r="W29" i="2" s="1"/>
  <c r="X29" i="2" s="1"/>
  <c r="Y29" i="2" s="1"/>
  <c r="C31" i="1"/>
  <c r="I30" i="4"/>
  <c r="P39" i="8"/>
  <c r="H38" i="8"/>
  <c r="E37" i="8"/>
  <c r="A35" i="8"/>
  <c r="B34" i="8"/>
  <c r="M26" i="8" l="1"/>
  <c r="I26" i="8"/>
  <c r="J26" i="8"/>
  <c r="O39" i="8"/>
  <c r="D21" i="1"/>
  <c r="E21" i="1" s="1"/>
  <c r="F21" i="1" s="1"/>
  <c r="G21" i="1"/>
  <c r="J21" i="1" s="1"/>
  <c r="F32" i="4"/>
  <c r="D32" i="4"/>
  <c r="I32" i="4" s="1"/>
  <c r="G32" i="4"/>
  <c r="O35" i="2"/>
  <c r="O49" i="2" s="1"/>
  <c r="AE27" i="2"/>
  <c r="AE23" i="2"/>
  <c r="AE29" i="2"/>
  <c r="AE24" i="2"/>
  <c r="AE22" i="2"/>
  <c r="AE20" i="2"/>
  <c r="AE28" i="2"/>
  <c r="AE26" i="2"/>
  <c r="AE21" i="2"/>
  <c r="AE30" i="2"/>
  <c r="AE31" i="2"/>
  <c r="AE25" i="2"/>
  <c r="C32" i="1"/>
  <c r="P32" i="2"/>
  <c r="P19" i="2" s="1"/>
  <c r="P40" i="8"/>
  <c r="H39" i="8"/>
  <c r="A36" i="8"/>
  <c r="B35" i="8"/>
  <c r="E38" i="8"/>
  <c r="K26" i="8" l="1"/>
  <c r="L26" i="8" s="1"/>
  <c r="M27" i="8" s="1"/>
  <c r="Q26" i="8"/>
  <c r="O40" i="8"/>
  <c r="AM31" i="2"/>
  <c r="AO31" i="2" s="1"/>
  <c r="AE32" i="2"/>
  <c r="C33" i="1"/>
  <c r="F33" i="4"/>
  <c r="D33" i="4"/>
  <c r="I33" i="4" s="1"/>
  <c r="G33" i="4"/>
  <c r="P47" i="2"/>
  <c r="P35" i="2" s="1"/>
  <c r="AF20" i="2" s="1" a="1"/>
  <c r="AG19" i="2" a="1"/>
  <c r="G22" i="1"/>
  <c r="J22" i="1" s="1"/>
  <c r="D22" i="1"/>
  <c r="E22" i="1" s="1"/>
  <c r="F22" i="1" s="1"/>
  <c r="P41" i="8"/>
  <c r="H40" i="8"/>
  <c r="E39" i="8"/>
  <c r="A37" i="8"/>
  <c r="B36" i="8"/>
  <c r="I27" i="8" l="1"/>
  <c r="J27" i="8"/>
  <c r="O41" i="8"/>
  <c r="D23" i="1"/>
  <c r="E23" i="1" s="1"/>
  <c r="F23" i="1" s="1"/>
  <c r="G23" i="1"/>
  <c r="J23" i="1" s="1"/>
  <c r="AG25" i="2"/>
  <c r="AK26" i="2" s="1"/>
  <c r="AG20" i="2"/>
  <c r="AK21" i="2" s="1"/>
  <c r="AG21" i="2"/>
  <c r="AK22" i="2" s="1"/>
  <c r="AG19" i="2"/>
  <c r="AG30" i="2"/>
  <c r="AG27" i="2"/>
  <c r="AK28" i="2" s="1"/>
  <c r="AG26" i="2"/>
  <c r="AK27" i="2" s="1"/>
  <c r="AG23" i="2"/>
  <c r="AK24" i="2" s="1"/>
  <c r="AG22" i="2"/>
  <c r="AK23" i="2" s="1"/>
  <c r="AG31" i="2"/>
  <c r="AG28" i="2"/>
  <c r="AK29" i="2" s="1"/>
  <c r="AG29" i="2"/>
  <c r="AK30" i="2" s="1"/>
  <c r="AG24" i="2"/>
  <c r="AK25" i="2" s="1"/>
  <c r="AF28" i="2"/>
  <c r="AF27" i="2"/>
  <c r="AF31" i="2"/>
  <c r="AF26" i="2"/>
  <c r="AF23" i="2"/>
  <c r="AF30" i="2"/>
  <c r="AF25" i="2"/>
  <c r="AF20" i="2"/>
  <c r="AF21" i="2"/>
  <c r="AF29" i="2"/>
  <c r="AF22" i="2"/>
  <c r="AF24" i="2"/>
  <c r="P49" i="2"/>
  <c r="C34" i="1"/>
  <c r="F34" i="4"/>
  <c r="D34" i="4"/>
  <c r="I34" i="4" s="1"/>
  <c r="G34" i="4"/>
  <c r="P42" i="8"/>
  <c r="H41" i="8"/>
  <c r="A38" i="8"/>
  <c r="B37" i="8"/>
  <c r="E40" i="8"/>
  <c r="Q27" i="8" l="1"/>
  <c r="K27" i="8"/>
  <c r="L27" i="8" s="1"/>
  <c r="O42" i="8"/>
  <c r="D24" i="1"/>
  <c r="G24" i="1"/>
  <c r="K24" i="1"/>
  <c r="AD30" i="2"/>
  <c r="AJ30" i="2" s="1"/>
  <c r="AB30" i="2"/>
  <c r="C35" i="1"/>
  <c r="AB23" i="2"/>
  <c r="AD23" i="2"/>
  <c r="AJ23" i="2" s="1"/>
  <c r="AD26" i="2"/>
  <c r="AJ26" i="2" s="1"/>
  <c r="AB26" i="2"/>
  <c r="AD22" i="2"/>
  <c r="AJ22" i="2" s="1"/>
  <c r="AB22" i="2"/>
  <c r="AD31" i="2"/>
  <c r="AJ31" i="2" s="1"/>
  <c r="AB31" i="2"/>
  <c r="AB20" i="2"/>
  <c r="AD20" i="2"/>
  <c r="AJ20" i="2" s="1"/>
  <c r="F35" i="4"/>
  <c r="D35" i="4"/>
  <c r="I35" i="4" s="1"/>
  <c r="G35" i="4"/>
  <c r="AD29" i="2"/>
  <c r="AJ29" i="2" s="1"/>
  <c r="AB29" i="2"/>
  <c r="AD27" i="2"/>
  <c r="AJ27" i="2" s="1"/>
  <c r="AB27" i="2"/>
  <c r="AD25" i="2"/>
  <c r="AJ25" i="2" s="1"/>
  <c r="AB25" i="2"/>
  <c r="AL31" i="2"/>
  <c r="AP31" i="2" s="1"/>
  <c r="AQ31" i="2" s="1"/>
  <c r="AR31" i="2" s="1"/>
  <c r="AJ19" i="2"/>
  <c r="AB19" i="2"/>
  <c r="AK31" i="2"/>
  <c r="AG32" i="2"/>
  <c r="AK32" i="2" s="1"/>
  <c r="AK20" i="2"/>
  <c r="AD24" i="2"/>
  <c r="AJ24" i="2" s="1"/>
  <c r="AB24" i="2"/>
  <c r="AB21" i="2"/>
  <c r="AD21" i="2"/>
  <c r="AJ21" i="2" s="1"/>
  <c r="AD28" i="2"/>
  <c r="AJ28" i="2" s="1"/>
  <c r="AB28" i="2"/>
  <c r="P43" i="8"/>
  <c r="H42" i="8"/>
  <c r="E41" i="8"/>
  <c r="A39" i="8"/>
  <c r="B38" i="8"/>
  <c r="M28" i="8" l="1"/>
  <c r="I28" i="8"/>
  <c r="J28" i="8"/>
  <c r="O43" i="8"/>
  <c r="C36" i="1"/>
  <c r="AJ11" i="2"/>
  <c r="AJ12" i="2"/>
  <c r="AJ13" i="2" s="1"/>
  <c r="F36" i="4"/>
  <c r="G36" i="4"/>
  <c r="M36" i="4" s="1"/>
  <c r="D36" i="4"/>
  <c r="J36" i="4"/>
  <c r="J24" i="1"/>
  <c r="L24" i="1" s="1"/>
  <c r="N24" i="1"/>
  <c r="E24" i="1"/>
  <c r="M24" i="1"/>
  <c r="P44" i="8"/>
  <c r="H43" i="8"/>
  <c r="A40" i="8"/>
  <c r="B39" i="8"/>
  <c r="E42" i="8"/>
  <c r="Q28" i="8" l="1"/>
  <c r="K28" i="8"/>
  <c r="L28" i="8" s="1"/>
  <c r="O44" i="8"/>
  <c r="I36" i="4"/>
  <c r="K36" i="4" s="1"/>
  <c r="L36" i="4"/>
  <c r="O36" i="4"/>
  <c r="P36" i="4" s="1"/>
  <c r="Q36" i="4" s="1"/>
  <c r="R36" i="4" s="1"/>
  <c r="F37" i="4"/>
  <c r="G37" i="4"/>
  <c r="D37" i="4"/>
  <c r="O24" i="1"/>
  <c r="F24" i="1"/>
  <c r="P24" i="1"/>
  <c r="Q24" i="1" s="1"/>
  <c r="R24" i="1" s="1"/>
  <c r="S24" i="1" s="1"/>
  <c r="C37" i="1"/>
  <c r="P45" i="8"/>
  <c r="H44" i="8"/>
  <c r="E43" i="8"/>
  <c r="B40" i="8"/>
  <c r="A41" i="8"/>
  <c r="M29" i="8" l="1"/>
  <c r="J29" i="8"/>
  <c r="I29" i="8"/>
  <c r="O45" i="8"/>
  <c r="C38" i="1"/>
  <c r="F38" i="4"/>
  <c r="D38" i="4"/>
  <c r="I38" i="4" s="1"/>
  <c r="G38" i="4"/>
  <c r="I37" i="4"/>
  <c r="D25" i="1"/>
  <c r="G25" i="1"/>
  <c r="P46" i="8"/>
  <c r="H45" i="8"/>
  <c r="B41" i="8"/>
  <c r="A42" i="8"/>
  <c r="C39" i="8" s="1"/>
  <c r="D39" i="8" s="1"/>
  <c r="E44" i="8"/>
  <c r="Q29" i="8" l="1"/>
  <c r="K29" i="8"/>
  <c r="L29" i="8" s="1"/>
  <c r="O46" i="8"/>
  <c r="F39" i="4"/>
  <c r="D39" i="4"/>
  <c r="I39" i="4" s="1"/>
  <c r="G39" i="4"/>
  <c r="E25" i="1"/>
  <c r="C39" i="1"/>
  <c r="J25" i="1"/>
  <c r="P47" i="8"/>
  <c r="H46" i="8"/>
  <c r="C40" i="8"/>
  <c r="D40" i="8" s="1"/>
  <c r="C42" i="8"/>
  <c r="D42" i="8" s="1"/>
  <c r="C41" i="8"/>
  <c r="D41" i="8" s="1"/>
  <c r="C36" i="8"/>
  <c r="D36" i="8" s="1"/>
  <c r="C37" i="8"/>
  <c r="D37" i="8" s="1"/>
  <c r="C43" i="8"/>
  <c r="D43" i="8" s="1"/>
  <c r="C44" i="8"/>
  <c r="D44" i="8" s="1"/>
  <c r="E45" i="8"/>
  <c r="B42" i="8"/>
  <c r="M30" i="8" l="1"/>
  <c r="U30" i="8" s="1"/>
  <c r="W30" i="8" s="1"/>
  <c r="X30" i="8" s="1"/>
  <c r="Y30" i="8" s="1"/>
  <c r="Z30" i="8" s="1"/>
  <c r="I30" i="8"/>
  <c r="J30" i="8"/>
  <c r="T30" i="8" s="1"/>
  <c r="R30" i="8"/>
  <c r="O47" i="8"/>
  <c r="F25" i="1"/>
  <c r="C40" i="1"/>
  <c r="F40" i="4"/>
  <c r="D40" i="4"/>
  <c r="I40" i="4" s="1"/>
  <c r="G40" i="4"/>
  <c r="P48" i="8"/>
  <c r="H47" i="8"/>
  <c r="C21" i="8"/>
  <c r="D21" i="8" s="1"/>
  <c r="N21" i="8" s="1"/>
  <c r="C22" i="8"/>
  <c r="D22" i="8" s="1"/>
  <c r="N22" i="8" s="1"/>
  <c r="C25" i="8"/>
  <c r="D25" i="8" s="1"/>
  <c r="N25" i="8" s="1"/>
  <c r="C24" i="8"/>
  <c r="D24" i="8" s="1"/>
  <c r="N24" i="8" s="1"/>
  <c r="C33" i="8"/>
  <c r="D33" i="8" s="1"/>
  <c r="C23" i="8"/>
  <c r="D23" i="8" s="1"/>
  <c r="N23" i="8" s="1"/>
  <c r="C34" i="8"/>
  <c r="D34" i="8" s="1"/>
  <c r="C27" i="8"/>
  <c r="D27" i="8" s="1"/>
  <c r="N27" i="8" s="1"/>
  <c r="C29" i="8"/>
  <c r="D29" i="8" s="1"/>
  <c r="N29" i="8" s="1"/>
  <c r="C20" i="8"/>
  <c r="D20" i="8" s="1"/>
  <c r="N20" i="8" s="1"/>
  <c r="C19" i="8"/>
  <c r="D19" i="8" s="1"/>
  <c r="N19" i="8" s="1"/>
  <c r="C35" i="8"/>
  <c r="D35" i="8" s="1"/>
  <c r="C30" i="8"/>
  <c r="D30" i="8" s="1"/>
  <c r="N30" i="8" s="1"/>
  <c r="C31" i="8"/>
  <c r="D31" i="8" s="1"/>
  <c r="C28" i="8"/>
  <c r="D28" i="8" s="1"/>
  <c r="N28" i="8" s="1"/>
  <c r="C32" i="8"/>
  <c r="D32" i="8" s="1"/>
  <c r="C26" i="8"/>
  <c r="D26" i="8" s="1"/>
  <c r="N26" i="8" s="1"/>
  <c r="C38" i="8"/>
  <c r="D38" i="8" s="1"/>
  <c r="E46" i="8"/>
  <c r="C45" i="8"/>
  <c r="D45" i="8" s="1"/>
  <c r="K30" i="8" l="1"/>
  <c r="Q30" i="8"/>
  <c r="O48" i="8"/>
  <c r="C41" i="1"/>
  <c r="G26" i="1"/>
  <c r="D26" i="1"/>
  <c r="F41" i="4"/>
  <c r="G41" i="4"/>
  <c r="D41" i="4"/>
  <c r="P49" i="8"/>
  <c r="H48" i="8"/>
  <c r="E47" i="8"/>
  <c r="C46" i="8"/>
  <c r="D46" i="8" s="1"/>
  <c r="L30" i="8" l="1"/>
  <c r="V30" i="8"/>
  <c r="O49" i="8"/>
  <c r="E26" i="1"/>
  <c r="J26" i="1"/>
  <c r="I41" i="4"/>
  <c r="C42" i="1"/>
  <c r="F42" i="4"/>
  <c r="G42" i="4"/>
  <c r="D42" i="4"/>
  <c r="I42" i="4" s="1"/>
  <c r="S30" i="8"/>
  <c r="P50" i="8"/>
  <c r="H49" i="8"/>
  <c r="E48" i="8"/>
  <c r="C47" i="8"/>
  <c r="D47" i="8" s="1"/>
  <c r="M31" i="8" l="1"/>
  <c r="J31" i="8"/>
  <c r="K31" i="8" s="1"/>
  <c r="L31" i="8" s="1"/>
  <c r="I31" i="8"/>
  <c r="Q31" i="8" s="1"/>
  <c r="N31" i="8"/>
  <c r="O50" i="8"/>
  <c r="C43" i="1"/>
  <c r="F43" i="4"/>
  <c r="D43" i="4"/>
  <c r="G43" i="4"/>
  <c r="F26" i="1"/>
  <c r="P51" i="8"/>
  <c r="H50" i="8"/>
  <c r="C48" i="8"/>
  <c r="D48" i="8" s="1"/>
  <c r="E49" i="8"/>
  <c r="M32" i="8" l="1"/>
  <c r="J32" i="8"/>
  <c r="I32" i="8"/>
  <c r="Q32" i="8" s="1"/>
  <c r="N32" i="8"/>
  <c r="O51" i="8"/>
  <c r="I43" i="4"/>
  <c r="F44" i="4"/>
  <c r="G44" i="4"/>
  <c r="D44" i="4"/>
  <c r="I44" i="4" s="1"/>
  <c r="G27" i="1"/>
  <c r="D27" i="1"/>
  <c r="C44" i="1"/>
  <c r="P52" i="8"/>
  <c r="H51" i="8"/>
  <c r="C49" i="8"/>
  <c r="D49" i="8" s="1"/>
  <c r="E50" i="8"/>
  <c r="K32" i="8" l="1"/>
  <c r="L32" i="8" s="1"/>
  <c r="O52" i="8"/>
  <c r="E27" i="1"/>
  <c r="F45" i="4"/>
  <c r="G45" i="4"/>
  <c r="D45" i="4"/>
  <c r="I45" i="4" s="1"/>
  <c r="C45" i="1"/>
  <c r="J27" i="1"/>
  <c r="P53" i="8"/>
  <c r="H52" i="8"/>
  <c r="E51" i="8"/>
  <c r="C50" i="8"/>
  <c r="D50" i="8" s="1"/>
  <c r="J33" i="8" l="1"/>
  <c r="I33" i="8"/>
  <c r="M33" i="8"/>
  <c r="N33" i="8"/>
  <c r="O53" i="8"/>
  <c r="C46" i="1"/>
  <c r="F46" i="4"/>
  <c r="G46" i="4"/>
  <c r="D46" i="4"/>
  <c r="I46" i="4" s="1"/>
  <c r="F27" i="1"/>
  <c r="P54" i="8"/>
  <c r="H53" i="8"/>
  <c r="E52" i="8"/>
  <c r="C51" i="8"/>
  <c r="D51" i="8" s="1"/>
  <c r="K33" i="8" l="1"/>
  <c r="L33" i="8" s="1"/>
  <c r="Q33" i="8"/>
  <c r="O54" i="8"/>
  <c r="F47" i="4"/>
  <c r="D47" i="4"/>
  <c r="I47" i="4" s="1"/>
  <c r="G47" i="4"/>
  <c r="D28" i="1"/>
  <c r="G28" i="1"/>
  <c r="C47" i="1"/>
  <c r="P55" i="8"/>
  <c r="H54" i="8"/>
  <c r="C52" i="8"/>
  <c r="D52" i="8" s="1"/>
  <c r="E53" i="8"/>
  <c r="M34" i="8" l="1"/>
  <c r="J34" i="8"/>
  <c r="I34" i="8"/>
  <c r="Q34" i="8" s="1"/>
  <c r="N34" i="8"/>
  <c r="O55" i="8"/>
  <c r="F48" i="4"/>
  <c r="D48" i="4"/>
  <c r="G48" i="4"/>
  <c r="M48" i="4" s="1"/>
  <c r="J48" i="4"/>
  <c r="C48" i="1"/>
  <c r="J28" i="1"/>
  <c r="E28" i="1"/>
  <c r="P56" i="8"/>
  <c r="H55" i="8"/>
  <c r="C53" i="8"/>
  <c r="D53" i="8" s="1"/>
  <c r="E54" i="8"/>
  <c r="K34" i="8" l="1"/>
  <c r="L34" i="8" s="1"/>
  <c r="O56" i="8"/>
  <c r="C49" i="1"/>
  <c r="F28" i="1"/>
  <c r="I48" i="4"/>
  <c r="K48" i="4" s="1"/>
  <c r="L48" i="4"/>
  <c r="O48" i="4" s="1"/>
  <c r="P48" i="4" s="1"/>
  <c r="Q48" i="4" s="1"/>
  <c r="R48" i="4" s="1"/>
  <c r="F49" i="4"/>
  <c r="D49" i="4"/>
  <c r="G49" i="4"/>
  <c r="P57" i="8"/>
  <c r="H56" i="8"/>
  <c r="E55" i="8"/>
  <c r="C54" i="8"/>
  <c r="D54" i="8" s="1"/>
  <c r="J35" i="8" l="1"/>
  <c r="K35" i="8" s="1"/>
  <c r="L35" i="8" s="1"/>
  <c r="I35" i="8"/>
  <c r="M35" i="8"/>
  <c r="N35" i="8"/>
  <c r="O57" i="8"/>
  <c r="G29" i="1"/>
  <c r="D29" i="1"/>
  <c r="C50" i="1"/>
  <c r="I49" i="4"/>
  <c r="F50" i="4"/>
  <c r="D50" i="4"/>
  <c r="I50" i="4" s="1"/>
  <c r="G50" i="4"/>
  <c r="P58" i="8"/>
  <c r="H57" i="8"/>
  <c r="E56" i="8"/>
  <c r="C55" i="8"/>
  <c r="D55" i="8" s="1"/>
  <c r="I36" i="8" l="1"/>
  <c r="M36" i="8"/>
  <c r="J36" i="8"/>
  <c r="N36" i="8"/>
  <c r="K36" i="8"/>
  <c r="L36" i="8" s="1"/>
  <c r="Q35" i="8"/>
  <c r="O58" i="8"/>
  <c r="C51" i="1"/>
  <c r="F51" i="4"/>
  <c r="G51" i="4"/>
  <c r="D51" i="4"/>
  <c r="I51" i="4" s="1"/>
  <c r="E29" i="1"/>
  <c r="J29" i="1"/>
  <c r="P59" i="8"/>
  <c r="H58" i="8"/>
  <c r="C56" i="8"/>
  <c r="D56" i="8" s="1"/>
  <c r="E57" i="8"/>
  <c r="M37" i="8" l="1"/>
  <c r="J37" i="8"/>
  <c r="N37" i="8"/>
  <c r="I37" i="8"/>
  <c r="Q37" i="8" s="1"/>
  <c r="K37" i="8"/>
  <c r="L37" i="8" s="1"/>
  <c r="Q36" i="8"/>
  <c r="O59" i="8"/>
  <c r="F52" i="4"/>
  <c r="D52" i="4"/>
  <c r="I52" i="4" s="1"/>
  <c r="G52" i="4"/>
  <c r="C52" i="1"/>
  <c r="F29" i="1"/>
  <c r="P60" i="8"/>
  <c r="H59" i="8"/>
  <c r="C57" i="8"/>
  <c r="D57" i="8" s="1"/>
  <c r="E58" i="8"/>
  <c r="I38" i="8" l="1"/>
  <c r="M38" i="8"/>
  <c r="N38" i="8"/>
  <c r="J38" i="8"/>
  <c r="K38" i="8" s="1"/>
  <c r="L38" i="8" s="1"/>
  <c r="O60" i="8"/>
  <c r="F53" i="4"/>
  <c r="D53" i="4"/>
  <c r="I53" i="4" s="1"/>
  <c r="G53" i="4"/>
  <c r="C53" i="1"/>
  <c r="G30" i="1"/>
  <c r="J30" i="1" s="1"/>
  <c r="D30" i="1"/>
  <c r="E30" i="1" s="1"/>
  <c r="F30" i="1" s="1"/>
  <c r="P61" i="8"/>
  <c r="H60" i="8"/>
  <c r="C58" i="8"/>
  <c r="D58" i="8" s="1"/>
  <c r="E59" i="8"/>
  <c r="J39" i="8" l="1"/>
  <c r="K39" i="8"/>
  <c r="L39" i="8" s="1"/>
  <c r="I40" i="8" s="1"/>
  <c r="N39" i="8"/>
  <c r="M39" i="8"/>
  <c r="Q39" i="8" s="1"/>
  <c r="I39" i="8"/>
  <c r="Q38" i="8"/>
  <c r="O61" i="8"/>
  <c r="C54" i="1"/>
  <c r="G31" i="1"/>
  <c r="J31" i="1" s="1"/>
  <c r="D31" i="1"/>
  <c r="E31" i="1" s="1"/>
  <c r="F31" i="1" s="1"/>
  <c r="F54" i="4"/>
  <c r="G54" i="4"/>
  <c r="D54" i="4"/>
  <c r="I54" i="4" s="1"/>
  <c r="P62" i="8"/>
  <c r="H61" i="8"/>
  <c r="E60" i="8"/>
  <c r="C59" i="8"/>
  <c r="D59" i="8" s="1"/>
  <c r="J40" i="8" l="1"/>
  <c r="K40" i="8" s="1"/>
  <c r="L40" i="8" s="1"/>
  <c r="M40" i="8"/>
  <c r="Q40" i="8" s="1"/>
  <c r="N40" i="8"/>
  <c r="O62" i="8"/>
  <c r="M41" i="8"/>
  <c r="N41" i="8"/>
  <c r="G32" i="1"/>
  <c r="J32" i="1" s="1"/>
  <c r="D32" i="1"/>
  <c r="E32" i="1" s="1"/>
  <c r="F32" i="1" s="1"/>
  <c r="F55" i="4"/>
  <c r="D55" i="4"/>
  <c r="I55" i="4" s="1"/>
  <c r="G55" i="4"/>
  <c r="C55" i="1"/>
  <c r="I41" i="8"/>
  <c r="J41" i="8"/>
  <c r="P63" i="8"/>
  <c r="H62" i="8"/>
  <c r="E61" i="8"/>
  <c r="C60" i="8"/>
  <c r="D60" i="8" s="1"/>
  <c r="O63" i="8" l="1"/>
  <c r="Q41" i="8"/>
  <c r="D33" i="1"/>
  <c r="E33" i="1" s="1"/>
  <c r="F33" i="1" s="1"/>
  <c r="G33" i="1"/>
  <c r="J33" i="1" s="1"/>
  <c r="C56" i="1"/>
  <c r="F56" i="4"/>
  <c r="G56" i="4"/>
  <c r="D56" i="4"/>
  <c r="I56" i="4" s="1"/>
  <c r="K41" i="8"/>
  <c r="L41" i="8" s="1"/>
  <c r="P64" i="8"/>
  <c r="H63" i="8"/>
  <c r="C61" i="8"/>
  <c r="D61" i="8" s="1"/>
  <c r="E62" i="8"/>
  <c r="O64" i="8" l="1"/>
  <c r="M42" i="8"/>
  <c r="N42" i="8"/>
  <c r="F57" i="4"/>
  <c r="D57" i="4"/>
  <c r="I57" i="4" s="1"/>
  <c r="G57" i="4"/>
  <c r="C57" i="1"/>
  <c r="D34" i="1"/>
  <c r="E34" i="1" s="1"/>
  <c r="F34" i="1" s="1"/>
  <c r="G34" i="1"/>
  <c r="J34" i="1" s="1"/>
  <c r="I42" i="8"/>
  <c r="J42" i="8"/>
  <c r="P65" i="8"/>
  <c r="H64" i="8"/>
  <c r="C62" i="8"/>
  <c r="D62" i="8" s="1"/>
  <c r="E63" i="8"/>
  <c r="O65" i="8" l="1"/>
  <c r="Q42" i="8"/>
  <c r="G35" i="1"/>
  <c r="J35" i="1" s="1"/>
  <c r="D35" i="1"/>
  <c r="E35" i="1" s="1"/>
  <c r="F35" i="1" s="1"/>
  <c r="C58" i="1"/>
  <c r="F58" i="4"/>
  <c r="D58" i="4"/>
  <c r="I58" i="4" s="1"/>
  <c r="G58" i="4"/>
  <c r="K42" i="8"/>
  <c r="P66" i="8"/>
  <c r="H65" i="8"/>
  <c r="E64" i="8"/>
  <c r="C63" i="8"/>
  <c r="D63" i="8" s="1"/>
  <c r="O66" i="8" l="1"/>
  <c r="D36" i="1"/>
  <c r="G36" i="1"/>
  <c r="K36" i="1"/>
  <c r="C59" i="1"/>
  <c r="F59" i="4"/>
  <c r="G59" i="4"/>
  <c r="D59" i="4"/>
  <c r="I59" i="4" s="1"/>
  <c r="L42" i="8"/>
  <c r="P67" i="8"/>
  <c r="H66" i="8"/>
  <c r="E65" i="8"/>
  <c r="C64" i="8"/>
  <c r="D64" i="8" s="1"/>
  <c r="O67" i="8" l="1"/>
  <c r="M43" i="8"/>
  <c r="N43" i="8"/>
  <c r="C60" i="1"/>
  <c r="J36" i="1"/>
  <c r="L36" i="1" s="1"/>
  <c r="N36" i="1"/>
  <c r="F60" i="4"/>
  <c r="D60" i="4"/>
  <c r="G60" i="4"/>
  <c r="M60" i="4" s="1"/>
  <c r="J60" i="4"/>
  <c r="E36" i="1"/>
  <c r="M36" i="1"/>
  <c r="I43" i="8"/>
  <c r="J43" i="8"/>
  <c r="P68" i="8"/>
  <c r="H67" i="8"/>
  <c r="C65" i="8"/>
  <c r="D65" i="8" s="1"/>
  <c r="E66" i="8"/>
  <c r="O68" i="8" l="1"/>
  <c r="P36" i="1"/>
  <c r="Q36" i="1" s="1"/>
  <c r="R36" i="1" s="1"/>
  <c r="S36" i="1" s="1"/>
  <c r="Q43" i="8"/>
  <c r="I60" i="4"/>
  <c r="L60" i="4"/>
  <c r="O60" i="4" s="1"/>
  <c r="P60" i="4" s="1"/>
  <c r="Q60" i="4" s="1"/>
  <c r="R60" i="4" s="1"/>
  <c r="O36" i="1"/>
  <c r="F36" i="1"/>
  <c r="C61" i="1"/>
  <c r="K43" i="8"/>
  <c r="L43" i="8" s="1"/>
  <c r="P69" i="8"/>
  <c r="H68" i="8"/>
  <c r="C66" i="8"/>
  <c r="D66" i="8" s="1"/>
  <c r="E67" i="8"/>
  <c r="O69" i="8" l="1"/>
  <c r="M44" i="8"/>
  <c r="N44" i="8"/>
  <c r="C62" i="1"/>
  <c r="G37" i="1"/>
  <c r="D37" i="1"/>
  <c r="I6" i="4"/>
  <c r="I7" i="4" s="1"/>
  <c r="K60" i="4"/>
  <c r="I44" i="8"/>
  <c r="J44" i="8"/>
  <c r="P70" i="8"/>
  <c r="H69" i="8"/>
  <c r="E68" i="8"/>
  <c r="C67" i="8"/>
  <c r="D67" i="8" s="1"/>
  <c r="O70" i="8" l="1"/>
  <c r="Q44" i="8"/>
  <c r="E37" i="1"/>
  <c r="J37" i="1"/>
  <c r="C63" i="1"/>
  <c r="K44" i="8"/>
  <c r="L44" i="8" s="1"/>
  <c r="P71" i="8"/>
  <c r="H70" i="8"/>
  <c r="C68" i="8"/>
  <c r="D68" i="8" s="1"/>
  <c r="E69" i="8"/>
  <c r="M45" i="8" l="1"/>
  <c r="N45" i="8"/>
  <c r="O71" i="8"/>
  <c r="C64" i="1"/>
  <c r="F37" i="1"/>
  <c r="I45" i="8"/>
  <c r="J45" i="8"/>
  <c r="P72" i="8"/>
  <c r="H71" i="8"/>
  <c r="C69" i="8"/>
  <c r="D69" i="8" s="1"/>
  <c r="E70" i="8"/>
  <c r="O72" i="8" l="1"/>
  <c r="Q45" i="8"/>
  <c r="D38" i="1"/>
  <c r="G38" i="1"/>
  <c r="C65" i="1"/>
  <c r="K45" i="8"/>
  <c r="L45" i="8" s="1"/>
  <c r="P73" i="8"/>
  <c r="H72" i="8"/>
  <c r="C70" i="8"/>
  <c r="D70" i="8" s="1"/>
  <c r="E71" i="8"/>
  <c r="O73" i="8" l="1"/>
  <c r="M46" i="8"/>
  <c r="N46" i="8"/>
  <c r="C66" i="1"/>
  <c r="J38" i="1"/>
  <c r="E38" i="1"/>
  <c r="J46" i="8"/>
  <c r="I46" i="8"/>
  <c r="P74" i="8"/>
  <c r="H73" i="8"/>
  <c r="E72" i="8"/>
  <c r="C71" i="8"/>
  <c r="D71" i="8" s="1"/>
  <c r="O74" i="8" l="1"/>
  <c r="Q46" i="8"/>
  <c r="F38" i="1"/>
  <c r="C67" i="1"/>
  <c r="K46" i="8"/>
  <c r="L46" i="8" s="1"/>
  <c r="P75" i="8"/>
  <c r="H74" i="8"/>
  <c r="E73" i="8"/>
  <c r="C72" i="8"/>
  <c r="D72" i="8" s="1"/>
  <c r="O75" i="8" l="1"/>
  <c r="M47" i="8"/>
  <c r="N47" i="8"/>
  <c r="C68" i="1"/>
  <c r="G39" i="1"/>
  <c r="D39" i="1"/>
  <c r="I47" i="8"/>
  <c r="J47" i="8"/>
  <c r="P76" i="8"/>
  <c r="H75" i="8"/>
  <c r="C73" i="8"/>
  <c r="D73" i="8" s="1"/>
  <c r="E74" i="8"/>
  <c r="O76" i="8" l="1"/>
  <c r="Q47" i="8"/>
  <c r="J39" i="1"/>
  <c r="C69" i="1"/>
  <c r="E39" i="1"/>
  <c r="K47" i="8"/>
  <c r="L47" i="8" s="1"/>
  <c r="P77" i="8"/>
  <c r="H76" i="8"/>
  <c r="C74" i="8"/>
  <c r="D74" i="8" s="1"/>
  <c r="E75" i="8"/>
  <c r="M48" i="8" l="1"/>
  <c r="N48" i="8"/>
  <c r="O77" i="8"/>
  <c r="F39" i="1"/>
  <c r="C70" i="1"/>
  <c r="I48" i="8"/>
  <c r="J48" i="8"/>
  <c r="P78" i="8"/>
  <c r="H77" i="8"/>
  <c r="E76" i="8"/>
  <c r="C75" i="8"/>
  <c r="D75" i="8" s="1"/>
  <c r="O78" i="8" l="1"/>
  <c r="Q48" i="8"/>
  <c r="C71" i="1"/>
  <c r="D40" i="1"/>
  <c r="G40" i="1"/>
  <c r="K48" i="8"/>
  <c r="L48" i="8" s="1"/>
  <c r="P79" i="8"/>
  <c r="H78" i="8"/>
  <c r="E77" i="8"/>
  <c r="C76" i="8"/>
  <c r="D76" i="8" s="1"/>
  <c r="O79" i="8" l="1"/>
  <c r="M49" i="8"/>
  <c r="N49" i="8"/>
  <c r="E40" i="1"/>
  <c r="J40" i="1"/>
  <c r="C72" i="1"/>
  <c r="J49" i="8"/>
  <c r="I49" i="8"/>
  <c r="P80" i="8"/>
  <c r="H79" i="8"/>
  <c r="C77" i="8"/>
  <c r="D77" i="8" s="1"/>
  <c r="E78" i="8"/>
  <c r="O80" i="8" l="1"/>
  <c r="Q49" i="8"/>
  <c r="C73" i="1"/>
  <c r="F40" i="1"/>
  <c r="K49" i="8"/>
  <c r="L49" i="8" s="1"/>
  <c r="P81" i="8"/>
  <c r="H80" i="8"/>
  <c r="C78" i="8"/>
  <c r="D78" i="8" s="1"/>
  <c r="E79" i="8"/>
  <c r="M50" i="8" l="1"/>
  <c r="N50" i="8"/>
  <c r="O81" i="8"/>
  <c r="D41" i="1"/>
  <c r="G41" i="1"/>
  <c r="C74" i="1"/>
  <c r="I50" i="8"/>
  <c r="J50" i="8"/>
  <c r="P82" i="8"/>
  <c r="H81" i="8"/>
  <c r="E80" i="8"/>
  <c r="C79" i="8"/>
  <c r="D79" i="8" s="1"/>
  <c r="O82" i="8" l="1"/>
  <c r="Q50" i="8"/>
  <c r="C75" i="1"/>
  <c r="J41" i="1"/>
  <c r="E41" i="1"/>
  <c r="K50" i="8"/>
  <c r="L50" i="8" s="1"/>
  <c r="P83" i="8"/>
  <c r="H82" i="8"/>
  <c r="E81" i="8"/>
  <c r="C80" i="8"/>
  <c r="D80" i="8" s="1"/>
  <c r="M51" i="8" l="1"/>
  <c r="N51" i="8"/>
  <c r="O83" i="8"/>
  <c r="I51" i="8"/>
  <c r="F41" i="1"/>
  <c r="C76" i="1"/>
  <c r="J51" i="8"/>
  <c r="P84" i="8"/>
  <c r="H83" i="8"/>
  <c r="E82" i="8"/>
  <c r="C81" i="8"/>
  <c r="D81" i="8" s="1"/>
  <c r="O84" i="8" l="1"/>
  <c r="K51" i="8"/>
  <c r="L51" i="8" s="1"/>
  <c r="J52" i="8" s="1"/>
  <c r="Q51" i="8"/>
  <c r="D42" i="1"/>
  <c r="E42" i="1" s="1"/>
  <c r="F42" i="1" s="1"/>
  <c r="G42" i="1"/>
  <c r="J42" i="1" s="1"/>
  <c r="C77" i="1"/>
  <c r="P85" i="8"/>
  <c r="H84" i="8"/>
  <c r="C82" i="8"/>
  <c r="D82" i="8" s="1"/>
  <c r="E83" i="8"/>
  <c r="I52" i="8" l="1"/>
  <c r="M52" i="8"/>
  <c r="N52" i="8"/>
  <c r="O85" i="8"/>
  <c r="C78" i="1"/>
  <c r="G43" i="1"/>
  <c r="J43" i="1" s="1"/>
  <c r="D43" i="1"/>
  <c r="E43" i="1" s="1"/>
  <c r="F43" i="1" s="1"/>
  <c r="K52" i="8"/>
  <c r="L52" i="8" s="1"/>
  <c r="P86" i="8"/>
  <c r="H85" i="8"/>
  <c r="C83" i="8"/>
  <c r="D83" i="8" s="1"/>
  <c r="E84" i="8"/>
  <c r="Q52" i="8" l="1"/>
  <c r="O86" i="8"/>
  <c r="M53" i="8"/>
  <c r="N53" i="8"/>
  <c r="I53" i="8"/>
  <c r="D44" i="1"/>
  <c r="E44" i="1" s="1"/>
  <c r="F44" i="1" s="1"/>
  <c r="G44" i="1"/>
  <c r="J44" i="1" s="1"/>
  <c r="C79" i="1"/>
  <c r="J53" i="8"/>
  <c r="P87" i="8"/>
  <c r="H86" i="8"/>
  <c r="E85" i="8"/>
  <c r="C84" i="8"/>
  <c r="D84" i="8" s="1"/>
  <c r="K53" i="8" l="1"/>
  <c r="L53" i="8" s="1"/>
  <c r="M54" i="8" s="1"/>
  <c r="O87" i="8"/>
  <c r="Q53" i="8"/>
  <c r="G45" i="1"/>
  <c r="J45" i="1" s="1"/>
  <c r="D45" i="1"/>
  <c r="E45" i="1" s="1"/>
  <c r="F45" i="1"/>
  <c r="C80" i="1"/>
  <c r="I54" i="8"/>
  <c r="R54" i="8"/>
  <c r="J54" i="8"/>
  <c r="T54" i="8" s="1"/>
  <c r="P88" i="8"/>
  <c r="H87" i="8"/>
  <c r="E86" i="8"/>
  <c r="C85" i="8"/>
  <c r="D85" i="8" s="1"/>
  <c r="N54" i="8" l="1"/>
  <c r="O88" i="8"/>
  <c r="U54" i="8"/>
  <c r="W54" i="8" s="1"/>
  <c r="Q54" i="8"/>
  <c r="S54" i="8" s="1"/>
  <c r="C81" i="1"/>
  <c r="G46" i="1"/>
  <c r="J46" i="1" s="1"/>
  <c r="D46" i="1"/>
  <c r="E46" i="1" s="1"/>
  <c r="F46" i="1" s="1"/>
  <c r="K54" i="8"/>
  <c r="V54" i="8" s="1"/>
  <c r="P89" i="8"/>
  <c r="H88" i="8"/>
  <c r="C86" i="8"/>
  <c r="D86" i="8" s="1"/>
  <c r="E87" i="8"/>
  <c r="O89" i="8" l="1"/>
  <c r="X54" i="8"/>
  <c r="Y54" i="8" s="1"/>
  <c r="Z54" i="8" s="1"/>
  <c r="G47" i="1"/>
  <c r="J47" i="1" s="1"/>
  <c r="D47" i="1"/>
  <c r="E47" i="1" s="1"/>
  <c r="F47" i="1" s="1"/>
  <c r="C82" i="1"/>
  <c r="L54" i="8"/>
  <c r="P90" i="8"/>
  <c r="H89" i="8"/>
  <c r="C87" i="8"/>
  <c r="D87" i="8" s="1"/>
  <c r="E88" i="8"/>
  <c r="O90" i="8" l="1"/>
  <c r="M55" i="8"/>
  <c r="N55" i="8"/>
  <c r="I55" i="8"/>
  <c r="C83" i="1"/>
  <c r="D48" i="1"/>
  <c r="G48" i="1"/>
  <c r="K48" i="1"/>
  <c r="J55" i="8"/>
  <c r="P91" i="8"/>
  <c r="H90" i="8"/>
  <c r="E89" i="8"/>
  <c r="C88" i="8"/>
  <c r="D88" i="8" s="1"/>
  <c r="O91" i="8" l="1"/>
  <c r="K55" i="8"/>
  <c r="L55" i="8" s="1"/>
  <c r="Q55" i="8"/>
  <c r="J48" i="1"/>
  <c r="L48" i="1" s="1"/>
  <c r="N48" i="1"/>
  <c r="C84" i="1"/>
  <c r="E48" i="1"/>
  <c r="M48" i="1"/>
  <c r="P92" i="8"/>
  <c r="H91" i="8"/>
  <c r="E90" i="8"/>
  <c r="C89" i="8"/>
  <c r="D89" i="8" s="1"/>
  <c r="M56" i="8" l="1"/>
  <c r="N56" i="8"/>
  <c r="O92" i="8"/>
  <c r="J56" i="8"/>
  <c r="I56" i="8"/>
  <c r="C85" i="1"/>
  <c r="O48" i="1"/>
  <c r="F48" i="1"/>
  <c r="P48" i="1"/>
  <c r="Q48" i="1" s="1"/>
  <c r="R48" i="1" s="1"/>
  <c r="S48" i="1" s="1"/>
  <c r="P93" i="8"/>
  <c r="H92" i="8"/>
  <c r="C90" i="8"/>
  <c r="D90" i="8" s="1"/>
  <c r="E91" i="8"/>
  <c r="K56" i="8" l="1"/>
  <c r="L56" i="8" s="1"/>
  <c r="M57" i="8" s="1"/>
  <c r="Q56" i="8"/>
  <c r="N57" i="8"/>
  <c r="O93" i="8"/>
  <c r="D49" i="1"/>
  <c r="G49" i="1"/>
  <c r="C86" i="1"/>
  <c r="J57" i="8"/>
  <c r="I57" i="8"/>
  <c r="P94" i="8"/>
  <c r="H93" i="8"/>
  <c r="C91" i="8"/>
  <c r="D91" i="8" s="1"/>
  <c r="E92" i="8"/>
  <c r="O94" i="8" l="1"/>
  <c r="Q57" i="8"/>
  <c r="C87" i="1"/>
  <c r="J49" i="1"/>
  <c r="E49" i="1"/>
  <c r="K57" i="8"/>
  <c r="L57" i="8" s="1"/>
  <c r="P95" i="8"/>
  <c r="H94" i="8"/>
  <c r="E93" i="8"/>
  <c r="C92" i="8"/>
  <c r="D92" i="8" s="1"/>
  <c r="M58" i="8" l="1"/>
  <c r="N58" i="8"/>
  <c r="O95" i="8"/>
  <c r="C88" i="1"/>
  <c r="F49" i="1"/>
  <c r="J58" i="8"/>
  <c r="I58" i="8"/>
  <c r="P96" i="8"/>
  <c r="H95" i="8"/>
  <c r="E94" i="8"/>
  <c r="C93" i="8"/>
  <c r="D93" i="8" s="1"/>
  <c r="O96" i="8" l="1"/>
  <c r="Q58" i="8"/>
  <c r="C89" i="1"/>
  <c r="G50" i="1"/>
  <c r="D50" i="1"/>
  <c r="K58" i="8"/>
  <c r="L58" i="8" s="1"/>
  <c r="P97" i="8"/>
  <c r="H96" i="8"/>
  <c r="E95" i="8"/>
  <c r="C94" i="8"/>
  <c r="D94" i="8" s="1"/>
  <c r="M59" i="8" l="1"/>
  <c r="N59" i="8"/>
  <c r="O97" i="8"/>
  <c r="J50" i="1"/>
  <c r="E50" i="1"/>
  <c r="C90" i="1"/>
  <c r="I59" i="8"/>
  <c r="J59" i="8"/>
  <c r="P98" i="8"/>
  <c r="H97" i="8"/>
  <c r="C95" i="8"/>
  <c r="D95" i="8" s="1"/>
  <c r="E96" i="8"/>
  <c r="O98" i="8" l="1"/>
  <c r="Q59" i="8"/>
  <c r="F50" i="1"/>
  <c r="C91" i="1"/>
  <c r="K59" i="8"/>
  <c r="L59" i="8" s="1"/>
  <c r="P99" i="8"/>
  <c r="H98" i="8"/>
  <c r="C96" i="8"/>
  <c r="D96" i="8" s="1"/>
  <c r="E97" i="8"/>
  <c r="O99" i="8" l="1"/>
  <c r="M60" i="8"/>
  <c r="N60" i="8"/>
  <c r="C92" i="1"/>
  <c r="D51" i="1"/>
  <c r="G51" i="1"/>
  <c r="I60" i="8"/>
  <c r="J60" i="8"/>
  <c r="P100" i="8"/>
  <c r="H99" i="8"/>
  <c r="E98" i="8"/>
  <c r="C97" i="8"/>
  <c r="D97" i="8" s="1"/>
  <c r="O100" i="8" l="1"/>
  <c r="Q60" i="8"/>
  <c r="J51" i="1"/>
  <c r="E51" i="1"/>
  <c r="C93" i="1"/>
  <c r="K60" i="8"/>
  <c r="L60" i="8" s="1"/>
  <c r="P101" i="8"/>
  <c r="H100" i="8"/>
  <c r="E99" i="8"/>
  <c r="C98" i="8"/>
  <c r="D98" i="8" s="1"/>
  <c r="O101" i="8" l="1"/>
  <c r="M61" i="8"/>
  <c r="N61" i="8"/>
  <c r="I61" i="8"/>
  <c r="C94" i="1"/>
  <c r="F51" i="1"/>
  <c r="J61" i="8"/>
  <c r="P102" i="8"/>
  <c r="H101" i="8"/>
  <c r="C99" i="8"/>
  <c r="D99" i="8" s="1"/>
  <c r="E100" i="8"/>
  <c r="O102" i="8" l="1"/>
  <c r="K61" i="8"/>
  <c r="L61" i="8" s="1"/>
  <c r="J62" i="8" s="1"/>
  <c r="Q61" i="8"/>
  <c r="G52" i="1"/>
  <c r="D52" i="1"/>
  <c r="C95" i="1"/>
  <c r="P103" i="8"/>
  <c r="H102" i="8"/>
  <c r="C100" i="8"/>
  <c r="D100" i="8" s="1"/>
  <c r="E101" i="8"/>
  <c r="M62" i="8" l="1"/>
  <c r="N62" i="8"/>
  <c r="I62" i="8"/>
  <c r="K62" i="8" s="1"/>
  <c r="L62" i="8" s="1"/>
  <c r="O103" i="8"/>
  <c r="C96" i="1"/>
  <c r="E52" i="1"/>
  <c r="J52" i="1"/>
  <c r="P104" i="8"/>
  <c r="H103" i="8"/>
  <c r="E102" i="8"/>
  <c r="C101" i="8"/>
  <c r="D101" i="8" s="1"/>
  <c r="Q62" i="8" l="1"/>
  <c r="M63" i="8"/>
  <c r="N63" i="8"/>
  <c r="O104" i="8"/>
  <c r="C97" i="1"/>
  <c r="F52" i="1"/>
  <c r="I63" i="8"/>
  <c r="J63" i="8"/>
  <c r="P105" i="8"/>
  <c r="H104" i="8"/>
  <c r="E103" i="8"/>
  <c r="C102" i="8"/>
  <c r="D102" i="8" s="1"/>
  <c r="O105" i="8" l="1"/>
  <c r="Q63" i="8"/>
  <c r="G53" i="1"/>
  <c r="D53" i="1"/>
  <c r="C98" i="1"/>
  <c r="K63" i="8"/>
  <c r="L63" i="8" s="1"/>
  <c r="P106" i="8"/>
  <c r="H105" i="8"/>
  <c r="C103" i="8"/>
  <c r="D103" i="8" s="1"/>
  <c r="E104" i="8"/>
  <c r="O106" i="8" l="1"/>
  <c r="M64" i="8"/>
  <c r="N64" i="8"/>
  <c r="E53" i="1"/>
  <c r="C99" i="1"/>
  <c r="J53" i="1"/>
  <c r="I64" i="8"/>
  <c r="J64" i="8"/>
  <c r="P107" i="8"/>
  <c r="H106" i="8"/>
  <c r="C104" i="8"/>
  <c r="D104" i="8" s="1"/>
  <c r="E105" i="8"/>
  <c r="O107" i="8" l="1"/>
  <c r="Q64" i="8"/>
  <c r="C100" i="1"/>
  <c r="F53" i="1"/>
  <c r="K64" i="8"/>
  <c r="L64" i="8" s="1"/>
  <c r="P108" i="8"/>
  <c r="H107" i="8"/>
  <c r="E106" i="8"/>
  <c r="C105" i="8"/>
  <c r="D105" i="8" s="1"/>
  <c r="O108" i="8" l="1"/>
  <c r="M65" i="8"/>
  <c r="N65" i="8"/>
  <c r="D54" i="1"/>
  <c r="E54" i="1" s="1"/>
  <c r="F54" i="1" s="1"/>
  <c r="G54" i="1"/>
  <c r="J54" i="1" s="1"/>
  <c r="C101" i="1"/>
  <c r="I65" i="8"/>
  <c r="J65" i="8"/>
  <c r="P109" i="8"/>
  <c r="H108" i="8"/>
  <c r="E107" i="8"/>
  <c r="C106" i="8"/>
  <c r="D106" i="8" s="1"/>
  <c r="O109" i="8" l="1"/>
  <c r="Q65" i="8"/>
  <c r="D55" i="1"/>
  <c r="E55" i="1" s="1"/>
  <c r="F55" i="1"/>
  <c r="G55" i="1"/>
  <c r="J55" i="1" s="1"/>
  <c r="C102" i="1"/>
  <c r="K65" i="8"/>
  <c r="L65" i="8" s="1"/>
  <c r="P110" i="8"/>
  <c r="H109" i="8"/>
  <c r="E108" i="8"/>
  <c r="C107" i="8"/>
  <c r="D107" i="8" s="1"/>
  <c r="M66" i="8" l="1"/>
  <c r="N66" i="8"/>
  <c r="O110" i="8"/>
  <c r="C103" i="1"/>
  <c r="G56" i="1"/>
  <c r="J56" i="1" s="1"/>
  <c r="D56" i="1"/>
  <c r="E56" i="1" s="1"/>
  <c r="F56" i="1" s="1"/>
  <c r="I66" i="8"/>
  <c r="R66" i="8"/>
  <c r="J66" i="8"/>
  <c r="T66" i="8" s="1"/>
  <c r="P111" i="8"/>
  <c r="H110" i="8"/>
  <c r="C108" i="8"/>
  <c r="D108" i="8" s="1"/>
  <c r="E109" i="8"/>
  <c r="O111" i="8" l="1"/>
  <c r="U66" i="8"/>
  <c r="W66" i="8" s="1"/>
  <c r="Q66" i="8"/>
  <c r="S66" i="8" s="1"/>
  <c r="G57" i="1"/>
  <c r="J57" i="1" s="1"/>
  <c r="D57" i="1"/>
  <c r="E57" i="1" s="1"/>
  <c r="F57" i="1" s="1"/>
  <c r="C104" i="1"/>
  <c r="K66" i="8"/>
  <c r="P112" i="8"/>
  <c r="H111" i="8"/>
  <c r="C109" i="8"/>
  <c r="D109" i="8" s="1"/>
  <c r="E110" i="8"/>
  <c r="O112" i="8" l="1"/>
  <c r="G58" i="1"/>
  <c r="J58" i="1" s="1"/>
  <c r="D58" i="1"/>
  <c r="E58" i="1" s="1"/>
  <c r="F58" i="1" s="1"/>
  <c r="C105" i="1"/>
  <c r="V66" i="8"/>
  <c r="L66" i="8"/>
  <c r="X66" i="8"/>
  <c r="P113" i="8"/>
  <c r="H112" i="8"/>
  <c r="E111" i="8"/>
  <c r="C110" i="8"/>
  <c r="D110" i="8" s="1"/>
  <c r="M67" i="8" l="1"/>
  <c r="N67" i="8"/>
  <c r="O113" i="8"/>
  <c r="G59" i="1"/>
  <c r="J59" i="1" s="1"/>
  <c r="D59" i="1"/>
  <c r="E59" i="1" s="1"/>
  <c r="F59" i="1" s="1"/>
  <c r="C106" i="1"/>
  <c r="Y66" i="8"/>
  <c r="Z66" i="8" s="1"/>
  <c r="I67" i="8"/>
  <c r="J67" i="8"/>
  <c r="P114" i="8"/>
  <c r="H113" i="8"/>
  <c r="E112" i="8"/>
  <c r="C111" i="8"/>
  <c r="D111" i="8" s="1"/>
  <c r="O114" i="8" l="1"/>
  <c r="Q67" i="8"/>
  <c r="D60" i="1"/>
  <c r="G60" i="1"/>
  <c r="K60" i="1"/>
  <c r="C107" i="1"/>
  <c r="K67" i="8"/>
  <c r="L67" i="8" s="1"/>
  <c r="P115" i="8"/>
  <c r="H114" i="8"/>
  <c r="C112" i="8"/>
  <c r="D112" i="8" s="1"/>
  <c r="E113" i="8"/>
  <c r="M68" i="8" l="1"/>
  <c r="N68" i="8"/>
  <c r="O115" i="8"/>
  <c r="C108" i="1"/>
  <c r="J60" i="1"/>
  <c r="L60" i="1" s="1"/>
  <c r="N60" i="1"/>
  <c r="E60" i="1"/>
  <c r="M60" i="1"/>
  <c r="I68" i="8"/>
  <c r="J68" i="8"/>
  <c r="P116" i="8"/>
  <c r="H115" i="8"/>
  <c r="C113" i="8"/>
  <c r="D113" i="8" s="1"/>
  <c r="E114" i="8"/>
  <c r="O116" i="8" l="1"/>
  <c r="Q68" i="8"/>
  <c r="P60" i="1"/>
  <c r="Q60" i="1" s="1"/>
  <c r="R60" i="1" s="1"/>
  <c r="S60" i="1" s="1"/>
  <c r="O60" i="1"/>
  <c r="F60" i="1"/>
  <c r="C109" i="1"/>
  <c r="K68" i="8"/>
  <c r="L68" i="8" s="1"/>
  <c r="P117" i="8"/>
  <c r="H116" i="8"/>
  <c r="E115" i="8"/>
  <c r="C114" i="8"/>
  <c r="D114" i="8" s="1"/>
  <c r="M69" i="8" l="1"/>
  <c r="N69" i="8"/>
  <c r="O117" i="8"/>
  <c r="C110" i="1"/>
  <c r="D61" i="1"/>
  <c r="E61" i="1" s="1"/>
  <c r="F61" i="1" s="1"/>
  <c r="G61" i="1"/>
  <c r="J61" i="1" s="1"/>
  <c r="I69" i="8"/>
  <c r="J69" i="8"/>
  <c r="P118" i="8"/>
  <c r="H117" i="8"/>
  <c r="E116" i="8"/>
  <c r="C115" i="8"/>
  <c r="D115" i="8" s="1"/>
  <c r="O118" i="8" l="1"/>
  <c r="Q69" i="8"/>
  <c r="C111" i="1"/>
  <c r="G62" i="1"/>
  <c r="J62" i="1" s="1"/>
  <c r="D62" i="1"/>
  <c r="E62" i="1" s="1"/>
  <c r="F62" i="1" s="1"/>
  <c r="K69" i="8"/>
  <c r="L69" i="8" s="1"/>
  <c r="P119" i="8"/>
  <c r="H118" i="8"/>
  <c r="C116" i="8"/>
  <c r="D116" i="8" s="1"/>
  <c r="E117" i="8"/>
  <c r="M70" i="8" l="1"/>
  <c r="N70" i="8"/>
  <c r="O119" i="8"/>
  <c r="D63" i="1"/>
  <c r="E63" i="1" s="1"/>
  <c r="F63" i="1" s="1"/>
  <c r="G63" i="1"/>
  <c r="J63" i="1" s="1"/>
  <c r="C112" i="1"/>
  <c r="I70" i="8"/>
  <c r="J70" i="8"/>
  <c r="P120" i="8"/>
  <c r="H119" i="8"/>
  <c r="C117" i="8"/>
  <c r="D117" i="8" s="1"/>
  <c r="E118" i="8"/>
  <c r="O120" i="8" l="1"/>
  <c r="Q70" i="8"/>
  <c r="G64" i="1"/>
  <c r="J64" i="1" s="1"/>
  <c r="D64" i="1"/>
  <c r="E64" i="1" s="1"/>
  <c r="F64" i="1" s="1"/>
  <c r="C113" i="1"/>
  <c r="K70" i="8"/>
  <c r="L70" i="8" s="1"/>
  <c r="P121" i="8"/>
  <c r="H120" i="8"/>
  <c r="C118" i="8"/>
  <c r="D118" i="8" s="1"/>
  <c r="E119" i="8"/>
  <c r="O121" i="8" l="1"/>
  <c r="M71" i="8"/>
  <c r="N71" i="8"/>
  <c r="D65" i="1"/>
  <c r="E65" i="1" s="1"/>
  <c r="F65" i="1" s="1"/>
  <c r="G65" i="1"/>
  <c r="J65" i="1" s="1"/>
  <c r="C114" i="1"/>
  <c r="I71" i="8"/>
  <c r="J71" i="8"/>
  <c r="P122" i="8"/>
  <c r="H121" i="8"/>
  <c r="E120" i="8"/>
  <c r="C119" i="8"/>
  <c r="D119" i="8" s="1"/>
  <c r="O122" i="8" l="1"/>
  <c r="Q71" i="8"/>
  <c r="D66" i="1"/>
  <c r="E66" i="1" s="1"/>
  <c r="F66" i="1" s="1"/>
  <c r="G66" i="1"/>
  <c r="J66" i="1" s="1"/>
  <c r="C115" i="1"/>
  <c r="K71" i="8"/>
  <c r="L71" i="8" s="1"/>
  <c r="P123" i="8"/>
  <c r="H122" i="8"/>
  <c r="E121" i="8"/>
  <c r="C120" i="8"/>
  <c r="D120" i="8" s="1"/>
  <c r="O123" i="8" l="1"/>
  <c r="M72" i="8"/>
  <c r="N72" i="8"/>
  <c r="D67" i="1"/>
  <c r="E67" i="1" s="1"/>
  <c r="F67" i="1" s="1"/>
  <c r="G67" i="1"/>
  <c r="J67" i="1" s="1"/>
  <c r="C116" i="1"/>
  <c r="I72" i="8"/>
  <c r="J72" i="8"/>
  <c r="P124" i="8"/>
  <c r="H123" i="8"/>
  <c r="C121" i="8"/>
  <c r="D121" i="8" s="1"/>
  <c r="E122" i="8"/>
  <c r="O124" i="8" l="1"/>
  <c r="Q72" i="8"/>
  <c r="G68" i="1"/>
  <c r="J68" i="1" s="1"/>
  <c r="D68" i="1"/>
  <c r="E68" i="1" s="1"/>
  <c r="F68" i="1" s="1"/>
  <c r="C117" i="1"/>
  <c r="K72" i="8"/>
  <c r="L72" i="8" s="1"/>
  <c r="P125" i="8"/>
  <c r="H124" i="8"/>
  <c r="C122" i="8"/>
  <c r="D122" i="8" s="1"/>
  <c r="E123" i="8"/>
  <c r="O125" i="8" l="1"/>
  <c r="M73" i="8"/>
  <c r="N73" i="8"/>
  <c r="G69" i="1"/>
  <c r="J69" i="1" s="1"/>
  <c r="D69" i="1"/>
  <c r="E69" i="1" s="1"/>
  <c r="F69" i="1" s="1"/>
  <c r="C118" i="1"/>
  <c r="I73" i="8"/>
  <c r="J73" i="8"/>
  <c r="P126" i="8"/>
  <c r="H125" i="8"/>
  <c r="E124" i="8"/>
  <c r="C123" i="8"/>
  <c r="D123" i="8" s="1"/>
  <c r="O126" i="8" l="1"/>
  <c r="Q73" i="8"/>
  <c r="C119" i="1"/>
  <c r="D70" i="1"/>
  <c r="E70" i="1" s="1"/>
  <c r="F70" i="1" s="1"/>
  <c r="G70" i="1"/>
  <c r="J70" i="1" s="1"/>
  <c r="K73" i="8"/>
  <c r="L73" i="8" s="1"/>
  <c r="P127" i="8"/>
  <c r="H126" i="8"/>
  <c r="E125" i="8"/>
  <c r="C124" i="8"/>
  <c r="D124" i="8" s="1"/>
  <c r="M74" i="8" l="1"/>
  <c r="N74" i="8"/>
  <c r="O127" i="8"/>
  <c r="D71" i="1"/>
  <c r="E71" i="1" s="1"/>
  <c r="F71" i="1" s="1"/>
  <c r="G71" i="1"/>
  <c r="J71" i="1" s="1"/>
  <c r="C120" i="1"/>
  <c r="I74" i="8"/>
  <c r="J74" i="8"/>
  <c r="P128" i="8"/>
  <c r="H127" i="8"/>
  <c r="C125" i="8"/>
  <c r="D125" i="8" s="1"/>
  <c r="E126" i="8"/>
  <c r="O128" i="8" l="1"/>
  <c r="Q74" i="8"/>
  <c r="D72" i="1"/>
  <c r="E72" i="1" s="1"/>
  <c r="F72" i="1" s="1"/>
  <c r="G72" i="1"/>
  <c r="J72" i="1" s="1"/>
  <c r="C121" i="1"/>
  <c r="K74" i="8"/>
  <c r="L74" i="8" s="1"/>
  <c r="P129" i="8"/>
  <c r="H128" i="8"/>
  <c r="C126" i="8"/>
  <c r="D126" i="8" s="1"/>
  <c r="E127" i="8"/>
  <c r="O129" i="8" l="1"/>
  <c r="M75" i="8"/>
  <c r="N75" i="8"/>
  <c r="D73" i="1"/>
  <c r="E73" i="1" s="1"/>
  <c r="F73" i="1" s="1"/>
  <c r="G73" i="1"/>
  <c r="J73" i="1" s="1"/>
  <c r="C122" i="1"/>
  <c r="I75" i="8"/>
  <c r="J75" i="8"/>
  <c r="P130" i="8"/>
  <c r="H129" i="8"/>
  <c r="E128" i="8"/>
  <c r="C127" i="8"/>
  <c r="D127" i="8" s="1"/>
  <c r="O130" i="8" l="1"/>
  <c r="Q75" i="8"/>
  <c r="D74" i="1"/>
  <c r="E74" i="1" s="1"/>
  <c r="F74" i="1" s="1"/>
  <c r="G74" i="1"/>
  <c r="J74" i="1" s="1"/>
  <c r="C123" i="1"/>
  <c r="K75" i="8"/>
  <c r="L75" i="8" s="1"/>
  <c r="P131" i="8"/>
  <c r="H130" i="8"/>
  <c r="E129" i="8"/>
  <c r="C128" i="8"/>
  <c r="D128" i="8" s="1"/>
  <c r="M76" i="8" l="1"/>
  <c r="N76" i="8"/>
  <c r="O131" i="8"/>
  <c r="D75" i="1"/>
  <c r="E75" i="1" s="1"/>
  <c r="F75" i="1" s="1"/>
  <c r="G75" i="1"/>
  <c r="J75" i="1" s="1"/>
  <c r="C124" i="1"/>
  <c r="I76" i="8"/>
  <c r="J76" i="8"/>
  <c r="P132" i="8"/>
  <c r="H131" i="8"/>
  <c r="E130" i="8"/>
  <c r="C129" i="8"/>
  <c r="D129" i="8" s="1"/>
  <c r="O132" i="8" l="1"/>
  <c r="Q76" i="8"/>
  <c r="D76" i="1"/>
  <c r="E76" i="1" s="1"/>
  <c r="F76" i="1" s="1"/>
  <c r="G76" i="1"/>
  <c r="J76" i="1" s="1"/>
  <c r="C125" i="1"/>
  <c r="K76" i="8"/>
  <c r="L76" i="8" s="1"/>
  <c r="P133" i="8"/>
  <c r="H132" i="8"/>
  <c r="C130" i="8"/>
  <c r="D130" i="8" s="1"/>
  <c r="E131" i="8"/>
  <c r="M77" i="8" l="1"/>
  <c r="N77" i="8"/>
  <c r="O133" i="8"/>
  <c r="D77" i="1"/>
  <c r="E77" i="1" s="1"/>
  <c r="G77" i="1"/>
  <c r="J77" i="1" s="1"/>
  <c r="F77" i="1"/>
  <c r="C126" i="1"/>
  <c r="I77" i="8"/>
  <c r="J77" i="8"/>
  <c r="P134" i="8"/>
  <c r="H133" i="8"/>
  <c r="C131" i="8"/>
  <c r="D131" i="8" s="1"/>
  <c r="E132" i="8"/>
  <c r="O134" i="8" l="1"/>
  <c r="Q77" i="8"/>
  <c r="D78" i="1"/>
  <c r="E78" i="1" s="1"/>
  <c r="F78" i="1" s="1"/>
  <c r="G78" i="1"/>
  <c r="J78" i="1" s="1"/>
  <c r="C127" i="1"/>
  <c r="K77" i="8"/>
  <c r="L77" i="8" s="1"/>
  <c r="P135" i="8"/>
  <c r="H134" i="8"/>
  <c r="E133" i="8"/>
  <c r="C132" i="8"/>
  <c r="D132" i="8" s="1"/>
  <c r="M78" i="8" l="1"/>
  <c r="N78" i="8"/>
  <c r="O135" i="8"/>
  <c r="C128" i="1"/>
  <c r="G79" i="1"/>
  <c r="J79" i="1" s="1"/>
  <c r="D79" i="1"/>
  <c r="E79" i="1" s="1"/>
  <c r="F79" i="1" s="1"/>
  <c r="I78" i="8"/>
  <c r="J78" i="8"/>
  <c r="P136" i="8"/>
  <c r="H135" i="8"/>
  <c r="E134" i="8"/>
  <c r="C133" i="8"/>
  <c r="D133" i="8" s="1"/>
  <c r="O136" i="8" l="1"/>
  <c r="Q78" i="8"/>
  <c r="D80" i="1"/>
  <c r="E80" i="1" s="1"/>
  <c r="F80" i="1" s="1"/>
  <c r="G80" i="1"/>
  <c r="J80" i="1" s="1"/>
  <c r="C129" i="1"/>
  <c r="K78" i="8"/>
  <c r="L78" i="8" s="1"/>
  <c r="P137" i="8"/>
  <c r="H136" i="8"/>
  <c r="C134" i="8"/>
  <c r="D134" i="8" s="1"/>
  <c r="E135" i="8"/>
  <c r="M79" i="8" l="1"/>
  <c r="N79" i="8"/>
  <c r="O137" i="8"/>
  <c r="G81" i="1"/>
  <c r="J81" i="1" s="1"/>
  <c r="D81" i="1"/>
  <c r="E81" i="1" s="1"/>
  <c r="F81" i="1" s="1"/>
  <c r="C130" i="1"/>
  <c r="I79" i="8"/>
  <c r="J79" i="8"/>
  <c r="P138" i="8"/>
  <c r="H137" i="8"/>
  <c r="C135" i="8"/>
  <c r="D135" i="8" s="1"/>
  <c r="E136" i="8"/>
  <c r="O138" i="8" l="1"/>
  <c r="Q79" i="8"/>
  <c r="G82" i="1"/>
  <c r="J82" i="1" s="1"/>
  <c r="D82" i="1"/>
  <c r="E82" i="1" s="1"/>
  <c r="F82" i="1" s="1"/>
  <c r="C131" i="1"/>
  <c r="K79" i="8"/>
  <c r="L79" i="8" s="1"/>
  <c r="P139" i="8"/>
  <c r="H138" i="8"/>
  <c r="E137" i="8"/>
  <c r="C136" i="8"/>
  <c r="D136" i="8" s="1"/>
  <c r="M80" i="8" l="1"/>
  <c r="N80" i="8"/>
  <c r="O139" i="8"/>
  <c r="I80" i="8"/>
  <c r="G83" i="1"/>
  <c r="J83" i="1" s="1"/>
  <c r="D83" i="1"/>
  <c r="E83" i="1" s="1"/>
  <c r="F83" i="1" s="1"/>
  <c r="C132" i="1"/>
  <c r="J80" i="8"/>
  <c r="P140" i="8"/>
  <c r="H139" i="8"/>
  <c r="E138" i="8"/>
  <c r="C137" i="8"/>
  <c r="D137" i="8" s="1"/>
  <c r="K80" i="8" l="1"/>
  <c r="L80" i="8" s="1"/>
  <c r="M81" i="8" s="1"/>
  <c r="O140" i="8"/>
  <c r="Q80" i="8"/>
  <c r="G84" i="1"/>
  <c r="J84" i="1" s="1"/>
  <c r="D84" i="1"/>
  <c r="E84" i="1" s="1"/>
  <c r="F84" i="1" s="1"/>
  <c r="C133" i="1"/>
  <c r="P141" i="8"/>
  <c r="H140" i="8"/>
  <c r="C138" i="8"/>
  <c r="D138" i="8" s="1"/>
  <c r="E139" i="8"/>
  <c r="J81" i="8" l="1"/>
  <c r="I81" i="8"/>
  <c r="Q81" i="8" s="1"/>
  <c r="N81" i="8"/>
  <c r="O141" i="8"/>
  <c r="G85" i="1"/>
  <c r="J85" i="1" s="1"/>
  <c r="D85" i="1"/>
  <c r="E85" i="1" s="1"/>
  <c r="F85" i="1" s="1"/>
  <c r="C134" i="1"/>
  <c r="P142" i="8"/>
  <c r="H141" i="8"/>
  <c r="C139" i="8"/>
  <c r="D139" i="8" s="1"/>
  <c r="E140" i="8"/>
  <c r="K81" i="8" l="1"/>
  <c r="L81" i="8" s="1"/>
  <c r="I82" i="8" s="1"/>
  <c r="O142" i="8"/>
  <c r="G86" i="1"/>
  <c r="J86" i="1" s="1"/>
  <c r="D86" i="1"/>
  <c r="E86" i="1" s="1"/>
  <c r="F86" i="1" s="1"/>
  <c r="C135" i="1"/>
  <c r="P143" i="8"/>
  <c r="H142" i="8"/>
  <c r="E141" i="8"/>
  <c r="C140" i="8"/>
  <c r="D140" i="8" s="1"/>
  <c r="N82" i="8" l="1"/>
  <c r="M82" i="8"/>
  <c r="Q82" i="8" s="1"/>
  <c r="J82" i="8"/>
  <c r="K82" i="8" s="1"/>
  <c r="L82" i="8" s="1"/>
  <c r="M83" i="8" s="1"/>
  <c r="O143" i="8"/>
  <c r="D87" i="1"/>
  <c r="E87" i="1" s="1"/>
  <c r="F87" i="1" s="1"/>
  <c r="G87" i="1"/>
  <c r="J87" i="1" s="1"/>
  <c r="C136" i="1"/>
  <c r="P144" i="8"/>
  <c r="H143" i="8"/>
  <c r="E142" i="8"/>
  <c r="C141" i="8"/>
  <c r="D141" i="8" s="1"/>
  <c r="I83" i="8" l="1"/>
  <c r="J83" i="8"/>
  <c r="N83" i="8"/>
  <c r="K83" i="8"/>
  <c r="L83" i="8" s="1"/>
  <c r="I84" i="8" s="1"/>
  <c r="O144" i="8"/>
  <c r="Q83" i="8"/>
  <c r="C137" i="1"/>
  <c r="G88" i="1"/>
  <c r="J88" i="1" s="1"/>
  <c r="D88" i="1"/>
  <c r="E88" i="1" s="1"/>
  <c r="F88" i="1" s="1"/>
  <c r="P145" i="8"/>
  <c r="H144" i="8"/>
  <c r="E143" i="8"/>
  <c r="C142" i="8"/>
  <c r="D142" i="8" s="1"/>
  <c r="J84" i="8" l="1"/>
  <c r="K84" i="8" s="1"/>
  <c r="L84" i="8" s="1"/>
  <c r="O145" i="8"/>
  <c r="M84" i="8"/>
  <c r="Q84" i="8" s="1"/>
  <c r="N84" i="8"/>
  <c r="D89" i="1"/>
  <c r="E89" i="1" s="1"/>
  <c r="F89" i="1" s="1"/>
  <c r="G89" i="1"/>
  <c r="J89" i="1" s="1"/>
  <c r="C138" i="1"/>
  <c r="P146" i="8"/>
  <c r="H145" i="8"/>
  <c r="C143" i="8"/>
  <c r="D143" i="8" s="1"/>
  <c r="E144" i="8"/>
  <c r="M85" i="8" l="1"/>
  <c r="J85" i="8"/>
  <c r="I85" i="8"/>
  <c r="N85" i="8"/>
  <c r="K85" i="8"/>
  <c r="L85" i="8" s="1"/>
  <c r="I86" i="8" s="1"/>
  <c r="O146" i="8"/>
  <c r="D90" i="1"/>
  <c r="E90" i="1" s="1"/>
  <c r="F90" i="1" s="1"/>
  <c r="G90" i="1"/>
  <c r="J90" i="1" s="1"/>
  <c r="C139" i="1"/>
  <c r="P147" i="8"/>
  <c r="H146" i="8"/>
  <c r="C144" i="8"/>
  <c r="D144" i="8" s="1"/>
  <c r="E145" i="8"/>
  <c r="Q85" i="8" l="1"/>
  <c r="J86" i="8"/>
  <c r="K86" i="8" s="1"/>
  <c r="L86" i="8" s="1"/>
  <c r="M87" i="8" s="1"/>
  <c r="M86" i="8"/>
  <c r="Q86" i="8" s="1"/>
  <c r="N86" i="8"/>
  <c r="O147" i="8"/>
  <c r="C140" i="1"/>
  <c r="D91" i="1"/>
  <c r="E91" i="1" s="1"/>
  <c r="F91" i="1" s="1"/>
  <c r="G91" i="1"/>
  <c r="J91" i="1" s="1"/>
  <c r="I87" i="8"/>
  <c r="J87" i="8"/>
  <c r="P148" i="8"/>
  <c r="H147" i="8"/>
  <c r="E146" i="8"/>
  <c r="C145" i="8"/>
  <c r="D145" i="8" s="1"/>
  <c r="N87" i="8" l="1"/>
  <c r="Q87" i="8"/>
  <c r="O148" i="8"/>
  <c r="G92" i="1"/>
  <c r="J92" i="1" s="1"/>
  <c r="D92" i="1"/>
  <c r="E92" i="1" s="1"/>
  <c r="F92" i="1" s="1"/>
  <c r="C141" i="1"/>
  <c r="K87" i="8"/>
  <c r="L87" i="8" s="1"/>
  <c r="P149" i="8"/>
  <c r="H148" i="8"/>
  <c r="E147" i="8"/>
  <c r="C146" i="8"/>
  <c r="D146" i="8" s="1"/>
  <c r="O149" i="8" l="1"/>
  <c r="M88" i="8"/>
  <c r="N88" i="8"/>
  <c r="D93" i="1"/>
  <c r="E93" i="1" s="1"/>
  <c r="F93" i="1" s="1"/>
  <c r="G93" i="1"/>
  <c r="J93" i="1" s="1"/>
  <c r="C142" i="1"/>
  <c r="J88" i="8"/>
  <c r="I88" i="8"/>
  <c r="P150" i="8"/>
  <c r="H149" i="8"/>
  <c r="C147" i="8"/>
  <c r="D147" i="8" s="1"/>
  <c r="E148" i="8"/>
  <c r="O150" i="8" l="1"/>
  <c r="Q88" i="8"/>
  <c r="C143" i="1"/>
  <c r="G94" i="1"/>
  <c r="J94" i="1" s="1"/>
  <c r="D94" i="1"/>
  <c r="E94" i="1" s="1"/>
  <c r="F94" i="1" s="1"/>
  <c r="K88" i="8"/>
  <c r="L88" i="8" s="1"/>
  <c r="P151" i="8"/>
  <c r="H150" i="8"/>
  <c r="C148" i="8"/>
  <c r="D148" i="8" s="1"/>
  <c r="E149" i="8"/>
  <c r="M89" i="8" l="1"/>
  <c r="N89" i="8"/>
  <c r="O151" i="8"/>
  <c r="I89" i="8"/>
  <c r="D95" i="1"/>
  <c r="E95" i="1" s="1"/>
  <c r="F95" i="1"/>
  <c r="G95" i="1"/>
  <c r="J95" i="1" s="1"/>
  <c r="C144" i="1"/>
  <c r="J89" i="8"/>
  <c r="P152" i="8"/>
  <c r="H151" i="8"/>
  <c r="E150" i="8"/>
  <c r="C149" i="8"/>
  <c r="D149" i="8" s="1"/>
  <c r="O152" i="8" l="1"/>
  <c r="K89" i="8"/>
  <c r="L89" i="8" s="1"/>
  <c r="J90" i="8" s="1"/>
  <c r="Q89" i="8"/>
  <c r="C145" i="1"/>
  <c r="G96" i="1"/>
  <c r="J96" i="1" s="1"/>
  <c r="D96" i="1"/>
  <c r="E96" i="1" s="1"/>
  <c r="F96" i="1" s="1"/>
  <c r="P153" i="8"/>
  <c r="H152" i="8"/>
  <c r="E151" i="8"/>
  <c r="C150" i="8"/>
  <c r="D150" i="8" s="1"/>
  <c r="M90" i="8" l="1"/>
  <c r="N90" i="8"/>
  <c r="I90" i="8"/>
  <c r="K90" i="8" s="1"/>
  <c r="L90" i="8" s="1"/>
  <c r="O153" i="8"/>
  <c r="D97" i="1"/>
  <c r="E97" i="1" s="1"/>
  <c r="F97" i="1" s="1"/>
  <c r="G97" i="1"/>
  <c r="J97" i="1" s="1"/>
  <c r="C146" i="1"/>
  <c r="P154" i="8"/>
  <c r="H153" i="8"/>
  <c r="C151" i="8"/>
  <c r="D151" i="8" s="1"/>
  <c r="E152" i="8"/>
  <c r="Q90" i="8" l="1"/>
  <c r="M91" i="8"/>
  <c r="N91" i="8"/>
  <c r="O154" i="8"/>
  <c r="C147" i="1"/>
  <c r="D98" i="1"/>
  <c r="E98" i="1" s="1"/>
  <c r="F98" i="1" s="1"/>
  <c r="G98" i="1"/>
  <c r="J98" i="1" s="1"/>
  <c r="I91" i="8"/>
  <c r="J91" i="8"/>
  <c r="P155" i="8"/>
  <c r="H154" i="8"/>
  <c r="C152" i="8"/>
  <c r="D152" i="8" s="1"/>
  <c r="E153" i="8"/>
  <c r="O155" i="8" l="1"/>
  <c r="Q91" i="8"/>
  <c r="D99" i="1"/>
  <c r="E99" i="1" s="1"/>
  <c r="F99" i="1" s="1"/>
  <c r="G99" i="1"/>
  <c r="J99" i="1" s="1"/>
  <c r="C148" i="1"/>
  <c r="K91" i="8"/>
  <c r="L91" i="8" s="1"/>
  <c r="P156" i="8"/>
  <c r="H155" i="8"/>
  <c r="E154" i="8"/>
  <c r="C153" i="8"/>
  <c r="D153" i="8" s="1"/>
  <c r="M92" i="8" l="1"/>
  <c r="N92" i="8"/>
  <c r="O156" i="8"/>
  <c r="C149" i="1"/>
  <c r="G100" i="1"/>
  <c r="J100" i="1" s="1"/>
  <c r="D100" i="1"/>
  <c r="E100" i="1" s="1"/>
  <c r="F100" i="1" s="1"/>
  <c r="I92" i="8"/>
  <c r="J92" i="8"/>
  <c r="P157" i="8"/>
  <c r="H156" i="8"/>
  <c r="C154" i="8"/>
  <c r="D154" i="8" s="1"/>
  <c r="E155" i="8"/>
  <c r="O157" i="8" l="1"/>
  <c r="Q92" i="8"/>
  <c r="D101" i="1"/>
  <c r="E101" i="1" s="1"/>
  <c r="F101" i="1" s="1"/>
  <c r="G101" i="1"/>
  <c r="J101" i="1" s="1"/>
  <c r="C150" i="1"/>
  <c r="K92" i="8"/>
  <c r="L92" i="8" s="1"/>
  <c r="P158" i="8"/>
  <c r="H157" i="8"/>
  <c r="C155" i="8"/>
  <c r="D155" i="8" s="1"/>
  <c r="E156" i="8"/>
  <c r="M93" i="8" l="1"/>
  <c r="N93" i="8"/>
  <c r="O158" i="8"/>
  <c r="C151" i="1"/>
  <c r="G102" i="1"/>
  <c r="J102" i="1" s="1"/>
  <c r="D102" i="1"/>
  <c r="E102" i="1" s="1"/>
  <c r="F102" i="1" s="1"/>
  <c r="I93" i="8"/>
  <c r="J93" i="8"/>
  <c r="P159" i="8"/>
  <c r="H158" i="8"/>
  <c r="E157" i="8"/>
  <c r="C156" i="8"/>
  <c r="D156" i="8" s="1"/>
  <c r="O159" i="8" l="1"/>
  <c r="Q93" i="8"/>
  <c r="G103" i="1"/>
  <c r="J103" i="1" s="1"/>
  <c r="D103" i="1"/>
  <c r="E103" i="1" s="1"/>
  <c r="F103" i="1" s="1"/>
  <c r="C152" i="1"/>
  <c r="K93" i="8"/>
  <c r="L93" i="8" s="1"/>
  <c r="P160" i="8"/>
  <c r="H159" i="8"/>
  <c r="E158" i="8"/>
  <c r="C157" i="8"/>
  <c r="D157" i="8" s="1"/>
  <c r="M94" i="8" l="1"/>
  <c r="N94" i="8"/>
  <c r="O160" i="8"/>
  <c r="I94" i="8"/>
  <c r="D104" i="1"/>
  <c r="E104" i="1" s="1"/>
  <c r="F104" i="1" s="1"/>
  <c r="G104" i="1"/>
  <c r="J104" i="1" s="1"/>
  <c r="C153" i="1"/>
  <c r="J94" i="8"/>
  <c r="P161" i="8"/>
  <c r="H160" i="8"/>
  <c r="C158" i="8"/>
  <c r="D158" i="8" s="1"/>
  <c r="E159" i="8"/>
  <c r="K94" i="8" l="1"/>
  <c r="L94" i="8" s="1"/>
  <c r="M95" i="8" s="1"/>
  <c r="O161" i="8"/>
  <c r="Q94" i="8"/>
  <c r="G105" i="1"/>
  <c r="J105" i="1" s="1"/>
  <c r="D105" i="1"/>
  <c r="E105" i="1" s="1"/>
  <c r="F105" i="1" s="1"/>
  <c r="C154" i="1"/>
  <c r="I95" i="8"/>
  <c r="J95" i="8"/>
  <c r="P162" i="8"/>
  <c r="H161" i="8"/>
  <c r="C159" i="8"/>
  <c r="D159" i="8" s="1"/>
  <c r="E160" i="8"/>
  <c r="N95" i="8" l="1"/>
  <c r="O162" i="8"/>
  <c r="Q95" i="8"/>
  <c r="G106" i="1"/>
  <c r="J106" i="1" s="1"/>
  <c r="D106" i="1"/>
  <c r="E106" i="1" s="1"/>
  <c r="F106" i="1" s="1"/>
  <c r="C155" i="1"/>
  <c r="K95" i="8"/>
  <c r="L95" i="8" s="1"/>
  <c r="P163" i="8"/>
  <c r="H162" i="8"/>
  <c r="E161" i="8"/>
  <c r="C160" i="8"/>
  <c r="D160" i="8" s="1"/>
  <c r="O163" i="8" l="1"/>
  <c r="M96" i="8"/>
  <c r="N96" i="8"/>
  <c r="G107" i="1"/>
  <c r="J107" i="1" s="1"/>
  <c r="D107" i="1"/>
  <c r="E107" i="1" s="1"/>
  <c r="F107" i="1" s="1"/>
  <c r="C156" i="1"/>
  <c r="I96" i="8"/>
  <c r="J96" i="8"/>
  <c r="P164" i="8"/>
  <c r="H163" i="8"/>
  <c r="E162" i="8"/>
  <c r="C161" i="8"/>
  <c r="D161" i="8" s="1"/>
  <c r="O164" i="8" l="1"/>
  <c r="Q96" i="8"/>
  <c r="D108" i="1"/>
  <c r="E108" i="1" s="1"/>
  <c r="G108" i="1"/>
  <c r="J108" i="1" s="1"/>
  <c r="F108" i="1"/>
  <c r="C157" i="1"/>
  <c r="K96" i="8"/>
  <c r="L96" i="8" s="1"/>
  <c r="P165" i="8"/>
  <c r="H164" i="8"/>
  <c r="C162" i="8"/>
  <c r="D162" i="8" s="1"/>
  <c r="E163" i="8"/>
  <c r="M97" i="8" l="1"/>
  <c r="N97" i="8"/>
  <c r="O165" i="8"/>
  <c r="I97" i="8"/>
  <c r="C158" i="1"/>
  <c r="G109" i="1"/>
  <c r="J109" i="1" s="1"/>
  <c r="D109" i="1"/>
  <c r="E109" i="1" s="1"/>
  <c r="F109" i="1" s="1"/>
  <c r="J97" i="8"/>
  <c r="P166" i="8"/>
  <c r="H165" i="8"/>
  <c r="C163" i="8"/>
  <c r="D163" i="8" s="1"/>
  <c r="E164" i="8"/>
  <c r="K97" i="8" l="1"/>
  <c r="L97" i="8" s="1"/>
  <c r="N98" i="8" s="1"/>
  <c r="O166" i="8"/>
  <c r="I98" i="8"/>
  <c r="Q97" i="8"/>
  <c r="G110" i="1"/>
  <c r="J110" i="1" s="1"/>
  <c r="D110" i="1"/>
  <c r="E110" i="1" s="1"/>
  <c r="F110" i="1" s="1"/>
  <c r="C159" i="1"/>
  <c r="J98" i="8"/>
  <c r="P167" i="8"/>
  <c r="H166" i="8"/>
  <c r="E165" i="8"/>
  <c r="C164" i="8"/>
  <c r="D164" i="8" s="1"/>
  <c r="M98" i="8" l="1"/>
  <c r="O167" i="8"/>
  <c r="K98" i="8"/>
  <c r="L98" i="8" s="1"/>
  <c r="I99" i="8" s="1"/>
  <c r="Q98" i="8"/>
  <c r="D111" i="1"/>
  <c r="E111" i="1" s="1"/>
  <c r="F111" i="1" s="1"/>
  <c r="G111" i="1"/>
  <c r="J111" i="1" s="1"/>
  <c r="C160" i="1"/>
  <c r="P168" i="8"/>
  <c r="H167" i="8"/>
  <c r="E166" i="8"/>
  <c r="C165" i="8"/>
  <c r="D165" i="8" s="1"/>
  <c r="J99" i="8" l="1"/>
  <c r="K99" i="8" s="1"/>
  <c r="L99" i="8" s="1"/>
  <c r="M99" i="8"/>
  <c r="N99" i="8"/>
  <c r="O168" i="8"/>
  <c r="Q99" i="8"/>
  <c r="G112" i="1"/>
  <c r="J112" i="1" s="1"/>
  <c r="D112" i="1"/>
  <c r="E112" i="1" s="1"/>
  <c r="F112" i="1" s="1"/>
  <c r="C161" i="1"/>
  <c r="P169" i="8"/>
  <c r="H168" i="8"/>
  <c r="E167" i="8"/>
  <c r="C166" i="8"/>
  <c r="D166" i="8" s="1"/>
  <c r="M100" i="8" l="1"/>
  <c r="I100" i="8"/>
  <c r="J100" i="8"/>
  <c r="K100" i="8" s="1"/>
  <c r="L100" i="8" s="1"/>
  <c r="N100" i="8"/>
  <c r="O169" i="8"/>
  <c r="Q100" i="8"/>
  <c r="C162" i="1"/>
  <c r="G113" i="1"/>
  <c r="J113" i="1" s="1"/>
  <c r="D113" i="1"/>
  <c r="E113" i="1" s="1"/>
  <c r="F113" i="1" s="1"/>
  <c r="P170" i="8"/>
  <c r="H169" i="8"/>
  <c r="C167" i="8"/>
  <c r="D167" i="8" s="1"/>
  <c r="E168" i="8"/>
  <c r="O170" i="8" l="1"/>
  <c r="M101" i="8"/>
  <c r="N101" i="8"/>
  <c r="G114" i="1"/>
  <c r="J114" i="1" s="1"/>
  <c r="D114" i="1"/>
  <c r="E114" i="1" s="1"/>
  <c r="F114" i="1" s="1"/>
  <c r="C163" i="1"/>
  <c r="I101" i="8"/>
  <c r="J101" i="8"/>
  <c r="P171" i="8"/>
  <c r="H170" i="8"/>
  <c r="C168" i="8"/>
  <c r="D168" i="8" s="1"/>
  <c r="E169" i="8"/>
  <c r="O171" i="8" l="1"/>
  <c r="Q101" i="8"/>
  <c r="G115" i="1"/>
  <c r="J115" i="1" s="1"/>
  <c r="D115" i="1"/>
  <c r="E115" i="1" s="1"/>
  <c r="F115" i="1" s="1"/>
  <c r="C164" i="1"/>
  <c r="K101" i="8"/>
  <c r="L101" i="8" s="1"/>
  <c r="P172" i="8"/>
  <c r="H171" i="8"/>
  <c r="E170" i="8"/>
  <c r="C169" i="8"/>
  <c r="D169" i="8" s="1"/>
  <c r="O172" i="8" l="1"/>
  <c r="M102" i="8"/>
  <c r="N102" i="8"/>
  <c r="C165" i="1"/>
  <c r="D116" i="1"/>
  <c r="E116" i="1" s="1"/>
  <c r="F116" i="1" s="1"/>
  <c r="G116" i="1"/>
  <c r="J116" i="1" s="1"/>
  <c r="J102" i="8"/>
  <c r="I102" i="8"/>
  <c r="P173" i="8"/>
  <c r="H172" i="8"/>
  <c r="E171" i="8"/>
  <c r="C170" i="8"/>
  <c r="D170" i="8" s="1"/>
  <c r="O173" i="8" l="1"/>
  <c r="Q102" i="8"/>
  <c r="G117" i="1"/>
  <c r="J117" i="1" s="1"/>
  <c r="D117" i="1"/>
  <c r="E117" i="1" s="1"/>
  <c r="F117" i="1" s="1"/>
  <c r="C166" i="1"/>
  <c r="K102" i="8"/>
  <c r="L102" i="8" s="1"/>
  <c r="P174" i="8"/>
  <c r="H173" i="8"/>
  <c r="C171" i="8"/>
  <c r="D171" i="8" s="1"/>
  <c r="E172" i="8"/>
  <c r="M103" i="8" l="1"/>
  <c r="N103" i="8"/>
  <c r="O174" i="8"/>
  <c r="C167" i="1"/>
  <c r="G118" i="1"/>
  <c r="J118" i="1" s="1"/>
  <c r="D118" i="1"/>
  <c r="E118" i="1" s="1"/>
  <c r="F118" i="1" s="1"/>
  <c r="J103" i="8"/>
  <c r="I103" i="8"/>
  <c r="P175" i="8"/>
  <c r="H174" i="8"/>
  <c r="C172" i="8"/>
  <c r="D172" i="8" s="1"/>
  <c r="E173" i="8"/>
  <c r="O175" i="8" l="1"/>
  <c r="Q103" i="8"/>
  <c r="D119" i="1"/>
  <c r="E119" i="1" s="1"/>
  <c r="F119" i="1" s="1"/>
  <c r="G119" i="1"/>
  <c r="J119" i="1" s="1"/>
  <c r="C168" i="1"/>
  <c r="K103" i="8"/>
  <c r="L103" i="8" s="1"/>
  <c r="P176" i="8"/>
  <c r="H175" i="8"/>
  <c r="E174" i="8"/>
  <c r="C173" i="8"/>
  <c r="D173" i="8" s="1"/>
  <c r="O176" i="8" l="1"/>
  <c r="M104" i="8"/>
  <c r="N104" i="8"/>
  <c r="C169" i="1"/>
  <c r="G120" i="1"/>
  <c r="J120" i="1" s="1"/>
  <c r="D120" i="1"/>
  <c r="E120" i="1" s="1"/>
  <c r="F120" i="1" s="1"/>
  <c r="J104" i="8"/>
  <c r="I104" i="8"/>
  <c r="P177" i="8"/>
  <c r="H176" i="8"/>
  <c r="E175" i="8"/>
  <c r="C174" i="8"/>
  <c r="D174" i="8" s="1"/>
  <c r="O177" i="8" l="1"/>
  <c r="Q104" i="8"/>
  <c r="G121" i="1"/>
  <c r="J121" i="1" s="1"/>
  <c r="D121" i="1"/>
  <c r="E121" i="1" s="1"/>
  <c r="F121" i="1" s="1"/>
  <c r="C170" i="1"/>
  <c r="K104" i="8"/>
  <c r="L104" i="8" s="1"/>
  <c r="P178" i="8"/>
  <c r="H177" i="8"/>
  <c r="C175" i="8"/>
  <c r="D175" i="8" s="1"/>
  <c r="E176" i="8"/>
  <c r="M105" i="8" l="1"/>
  <c r="N105" i="8"/>
  <c r="O178" i="8"/>
  <c r="G122" i="1"/>
  <c r="J122" i="1" s="1"/>
  <c r="D122" i="1"/>
  <c r="E122" i="1" s="1"/>
  <c r="F122" i="1" s="1"/>
  <c r="C171" i="1"/>
  <c r="I105" i="8"/>
  <c r="J105" i="8"/>
  <c r="P179" i="8"/>
  <c r="H178" i="8"/>
  <c r="C176" i="8"/>
  <c r="D176" i="8" s="1"/>
  <c r="E177" i="8"/>
  <c r="O179" i="8" l="1"/>
  <c r="Q105" i="8"/>
  <c r="D123" i="1"/>
  <c r="E123" i="1" s="1"/>
  <c r="F123" i="1" s="1"/>
  <c r="G123" i="1"/>
  <c r="J123" i="1" s="1"/>
  <c r="C172" i="1"/>
  <c r="K105" i="8"/>
  <c r="L105" i="8" s="1"/>
  <c r="P180" i="8"/>
  <c r="H179" i="8"/>
  <c r="E178" i="8"/>
  <c r="C177" i="8"/>
  <c r="D177" i="8" s="1"/>
  <c r="O180" i="8" l="1"/>
  <c r="M106" i="8"/>
  <c r="N106" i="8"/>
  <c r="I106" i="8"/>
  <c r="C173" i="1"/>
  <c r="G124" i="1"/>
  <c r="J124" i="1" s="1"/>
  <c r="D124" i="1"/>
  <c r="E124" i="1" s="1"/>
  <c r="F124" i="1"/>
  <c r="J106" i="8"/>
  <c r="P181" i="8"/>
  <c r="H180" i="8"/>
  <c r="E179" i="8"/>
  <c r="C178" i="8"/>
  <c r="D178" i="8" s="1"/>
  <c r="O181" i="8" l="1"/>
  <c r="K106" i="8"/>
  <c r="L106" i="8" s="1"/>
  <c r="I107" i="8" s="1"/>
  <c r="Q106" i="8"/>
  <c r="D125" i="1"/>
  <c r="E125" i="1" s="1"/>
  <c r="F125" i="1" s="1"/>
  <c r="G125" i="1"/>
  <c r="J125" i="1" s="1"/>
  <c r="C174" i="1"/>
  <c r="P182" i="8"/>
  <c r="H181" i="8"/>
  <c r="E180" i="8"/>
  <c r="C179" i="8"/>
  <c r="D179" i="8" s="1"/>
  <c r="J107" i="8" l="1"/>
  <c r="K107" i="8" s="1"/>
  <c r="L107" i="8" s="1"/>
  <c r="M107" i="8"/>
  <c r="Q107" i="8" s="1"/>
  <c r="N107" i="8"/>
  <c r="O182" i="8"/>
  <c r="C175" i="1"/>
  <c r="G126" i="1"/>
  <c r="J126" i="1" s="1"/>
  <c r="D126" i="1"/>
  <c r="E126" i="1" s="1"/>
  <c r="F126" i="1" s="1"/>
  <c r="P183" i="8"/>
  <c r="H182" i="8"/>
  <c r="C180" i="8"/>
  <c r="D180" i="8" s="1"/>
  <c r="E181" i="8"/>
  <c r="M108" i="8" l="1"/>
  <c r="N108" i="8"/>
  <c r="O183" i="8"/>
  <c r="G127" i="1"/>
  <c r="J127" i="1" s="1"/>
  <c r="D127" i="1"/>
  <c r="E127" i="1" s="1"/>
  <c r="F127" i="1" s="1"/>
  <c r="C176" i="1"/>
  <c r="J108" i="8"/>
  <c r="I108" i="8"/>
  <c r="P184" i="8"/>
  <c r="H183" i="8"/>
  <c r="C181" i="8"/>
  <c r="D181" i="8" s="1"/>
  <c r="E182" i="8"/>
  <c r="O184" i="8" l="1"/>
  <c r="Q108" i="8"/>
  <c r="D128" i="1"/>
  <c r="E128" i="1" s="1"/>
  <c r="F128" i="1" s="1"/>
  <c r="G128" i="1"/>
  <c r="J128" i="1" s="1"/>
  <c r="C177" i="1"/>
  <c r="K108" i="8"/>
  <c r="L108" i="8" s="1"/>
  <c r="P185" i="8"/>
  <c r="H184" i="8"/>
  <c r="E183" i="8"/>
  <c r="C182" i="8"/>
  <c r="D182" i="8" s="1"/>
  <c r="M109" i="8" l="1"/>
  <c r="N109" i="8"/>
  <c r="O185" i="8"/>
  <c r="I109" i="8"/>
  <c r="G129" i="1"/>
  <c r="J129" i="1" s="1"/>
  <c r="D129" i="1"/>
  <c r="E129" i="1" s="1"/>
  <c r="F129" i="1" s="1"/>
  <c r="C178" i="1"/>
  <c r="J109" i="8"/>
  <c r="K109" i="8" s="1"/>
  <c r="L109" i="8" s="1"/>
  <c r="P186" i="8"/>
  <c r="H185" i="8"/>
  <c r="E184" i="8"/>
  <c r="C183" i="8"/>
  <c r="D183" i="8" s="1"/>
  <c r="M110" i="8" l="1"/>
  <c r="N110" i="8"/>
  <c r="O186" i="8"/>
  <c r="Q109" i="8"/>
  <c r="G130" i="1"/>
  <c r="J130" i="1" s="1"/>
  <c r="D130" i="1"/>
  <c r="E130" i="1" s="1"/>
  <c r="F130" i="1" s="1"/>
  <c r="C179" i="1"/>
  <c r="I110" i="8"/>
  <c r="J110" i="8"/>
  <c r="P187" i="8"/>
  <c r="H186" i="8"/>
  <c r="C184" i="8"/>
  <c r="D184" i="8" s="1"/>
  <c r="E185" i="8"/>
  <c r="O187" i="8" l="1"/>
  <c r="Q110" i="8"/>
  <c r="G131" i="1"/>
  <c r="J131" i="1" s="1"/>
  <c r="D131" i="1"/>
  <c r="E131" i="1" s="1"/>
  <c r="F131" i="1" s="1"/>
  <c r="C180" i="1"/>
  <c r="K110" i="8"/>
  <c r="L110" i="8" s="1"/>
  <c r="P188" i="8"/>
  <c r="H187" i="8"/>
  <c r="C185" i="8"/>
  <c r="D185" i="8" s="1"/>
  <c r="E186" i="8"/>
  <c r="O188" i="8" l="1"/>
  <c r="M111" i="8"/>
  <c r="N111" i="8"/>
  <c r="J111" i="8"/>
  <c r="G132" i="1"/>
  <c r="J132" i="1" s="1"/>
  <c r="D132" i="1"/>
  <c r="E132" i="1" s="1"/>
  <c r="F132" i="1" s="1"/>
  <c r="C181" i="1"/>
  <c r="I111" i="8"/>
  <c r="P189" i="8"/>
  <c r="H188" i="8"/>
  <c r="E187" i="8"/>
  <c r="C186" i="8"/>
  <c r="D186" i="8" s="1"/>
  <c r="O189" i="8" l="1"/>
  <c r="K111" i="8"/>
  <c r="L111" i="8" s="1"/>
  <c r="I112" i="8" s="1"/>
  <c r="Q111" i="8"/>
  <c r="C182" i="1"/>
  <c r="D133" i="1"/>
  <c r="E133" i="1" s="1"/>
  <c r="F133" i="1" s="1"/>
  <c r="G133" i="1"/>
  <c r="J133" i="1" s="1"/>
  <c r="P190" i="8"/>
  <c r="H189" i="8"/>
  <c r="E188" i="8"/>
  <c r="C187" i="8"/>
  <c r="D187" i="8" s="1"/>
  <c r="J112" i="8" l="1"/>
  <c r="M112" i="8"/>
  <c r="Q112" i="8" s="1"/>
  <c r="N112" i="8"/>
  <c r="O190" i="8"/>
  <c r="G134" i="1"/>
  <c r="J134" i="1" s="1"/>
  <c r="D134" i="1"/>
  <c r="E134" i="1" s="1"/>
  <c r="F134" i="1" s="1"/>
  <c r="C183" i="1"/>
  <c r="K112" i="8"/>
  <c r="L112" i="8" s="1"/>
  <c r="P191" i="8"/>
  <c r="H190" i="8"/>
  <c r="C188" i="8"/>
  <c r="D188" i="8" s="1"/>
  <c r="E189" i="8"/>
  <c r="M113" i="8" l="1"/>
  <c r="N113" i="8"/>
  <c r="O191" i="8"/>
  <c r="J113" i="8"/>
  <c r="G135" i="1"/>
  <c r="J135" i="1" s="1"/>
  <c r="D135" i="1"/>
  <c r="E135" i="1" s="1"/>
  <c r="F135" i="1" s="1"/>
  <c r="C184" i="1"/>
  <c r="I113" i="8"/>
  <c r="P192" i="8"/>
  <c r="H191" i="8"/>
  <c r="E190" i="8"/>
  <c r="C189" i="8"/>
  <c r="D189" i="8" s="1"/>
  <c r="O192" i="8" l="1"/>
  <c r="K113" i="8"/>
  <c r="L113" i="8" s="1"/>
  <c r="I114" i="8" s="1"/>
  <c r="Q113" i="8"/>
  <c r="C185" i="1"/>
  <c r="D136" i="1"/>
  <c r="E136" i="1" s="1"/>
  <c r="F136" i="1" s="1"/>
  <c r="G136" i="1"/>
  <c r="J136" i="1" s="1"/>
  <c r="P193" i="8"/>
  <c r="H192" i="8"/>
  <c r="C190" i="8"/>
  <c r="D190" i="8" s="1"/>
  <c r="E191" i="8"/>
  <c r="J114" i="8" l="1"/>
  <c r="M114" i="8"/>
  <c r="Q114" i="8" s="1"/>
  <c r="N114" i="8"/>
  <c r="O193" i="8"/>
  <c r="K114" i="8"/>
  <c r="L114" i="8" s="1"/>
  <c r="D137" i="1"/>
  <c r="E137" i="1" s="1"/>
  <c r="F137" i="1" s="1"/>
  <c r="G137" i="1"/>
  <c r="J137" i="1" s="1"/>
  <c r="C186" i="1"/>
  <c r="P194" i="8"/>
  <c r="H193" i="8"/>
  <c r="C191" i="8"/>
  <c r="D191" i="8" s="1"/>
  <c r="E192" i="8"/>
  <c r="M115" i="8" l="1"/>
  <c r="N115" i="8"/>
  <c r="O194" i="8"/>
  <c r="I115" i="8"/>
  <c r="J115" i="8"/>
  <c r="G138" i="1"/>
  <c r="J138" i="1" s="1"/>
  <c r="D138" i="1"/>
  <c r="E138" i="1" s="1"/>
  <c r="F138" i="1" s="1"/>
  <c r="C187" i="1"/>
  <c r="P195" i="8"/>
  <c r="H194" i="8"/>
  <c r="E193" i="8"/>
  <c r="C192" i="8"/>
  <c r="D192" i="8" s="1"/>
  <c r="O195" i="8" l="1"/>
  <c r="K115" i="8"/>
  <c r="L115" i="8" s="1"/>
  <c r="Q115" i="8"/>
  <c r="C188" i="1"/>
  <c r="G139" i="1"/>
  <c r="J139" i="1" s="1"/>
  <c r="D139" i="1"/>
  <c r="E139" i="1" s="1"/>
  <c r="F139" i="1" s="1"/>
  <c r="P196" i="8"/>
  <c r="H195" i="8"/>
  <c r="E194" i="8"/>
  <c r="C193" i="8"/>
  <c r="D193" i="8" s="1"/>
  <c r="J116" i="8" l="1"/>
  <c r="M116" i="8"/>
  <c r="N116" i="8"/>
  <c r="O196" i="8"/>
  <c r="I116" i="8"/>
  <c r="G140" i="1"/>
  <c r="J140" i="1" s="1"/>
  <c r="D140" i="1"/>
  <c r="E140" i="1" s="1"/>
  <c r="F140" i="1" s="1"/>
  <c r="C189" i="1"/>
  <c r="P197" i="8"/>
  <c r="H196" i="8"/>
  <c r="C194" i="8"/>
  <c r="D194" i="8" s="1"/>
  <c r="E195" i="8"/>
  <c r="K116" i="8" l="1"/>
  <c r="L116" i="8" s="1"/>
  <c r="I117" i="8" s="1"/>
  <c r="Q116" i="8"/>
  <c r="O197" i="8"/>
  <c r="J117" i="8"/>
  <c r="K117" i="8" s="1"/>
  <c r="L117" i="8" s="1"/>
  <c r="M117" i="8"/>
  <c r="Q117" i="8" s="1"/>
  <c r="N117" i="8"/>
  <c r="C190" i="1"/>
  <c r="D141" i="1"/>
  <c r="E141" i="1" s="1"/>
  <c r="F141" i="1" s="1"/>
  <c r="G141" i="1"/>
  <c r="J141" i="1" s="1"/>
  <c r="P198" i="8"/>
  <c r="H197" i="8"/>
  <c r="C195" i="8"/>
  <c r="D195" i="8" s="1"/>
  <c r="E196" i="8"/>
  <c r="M118" i="8" l="1"/>
  <c r="N118" i="8"/>
  <c r="J118" i="8"/>
  <c r="I118" i="8"/>
  <c r="O198" i="8"/>
  <c r="G142" i="1"/>
  <c r="J142" i="1" s="1"/>
  <c r="D142" i="1"/>
  <c r="E142" i="1" s="1"/>
  <c r="F142" i="1" s="1"/>
  <c r="C191" i="1"/>
  <c r="P199" i="8"/>
  <c r="H198" i="8"/>
  <c r="E197" i="8"/>
  <c r="C196" i="8"/>
  <c r="D196" i="8" s="1"/>
  <c r="Q118" i="8" l="1"/>
  <c r="K118" i="8"/>
  <c r="L118" i="8" s="1"/>
  <c r="M119" i="8" s="1"/>
  <c r="O199" i="8"/>
  <c r="D143" i="1"/>
  <c r="E143" i="1" s="1"/>
  <c r="F143" i="1" s="1"/>
  <c r="G143" i="1"/>
  <c r="J143" i="1" s="1"/>
  <c r="C192" i="1"/>
  <c r="P200" i="8"/>
  <c r="H199" i="8"/>
  <c r="E198" i="8"/>
  <c r="C197" i="8"/>
  <c r="D197" i="8" s="1"/>
  <c r="N119" i="8" l="1"/>
  <c r="I119" i="8"/>
  <c r="Q119" i="8" s="1"/>
  <c r="J119" i="8"/>
  <c r="O200" i="8"/>
  <c r="D144" i="1"/>
  <c r="E144" i="1" s="1"/>
  <c r="F144" i="1" s="1"/>
  <c r="G144" i="1"/>
  <c r="J144" i="1" s="1"/>
  <c r="P201" i="8"/>
  <c r="H200" i="8"/>
  <c r="C198" i="8"/>
  <c r="D198" i="8" s="1"/>
  <c r="E199" i="8"/>
  <c r="K119" i="8" l="1"/>
  <c r="L119" i="8" s="1"/>
  <c r="M120" i="8" s="1"/>
  <c r="O201" i="8"/>
  <c r="G145" i="1"/>
  <c r="J145" i="1" s="1"/>
  <c r="D145" i="1"/>
  <c r="E145" i="1" s="1"/>
  <c r="F145" i="1" s="1"/>
  <c r="P202" i="8"/>
  <c r="H201" i="8"/>
  <c r="C199" i="8"/>
  <c r="D199" i="8" s="1"/>
  <c r="E200" i="8"/>
  <c r="J120" i="8" l="1"/>
  <c r="N120" i="8"/>
  <c r="I120" i="8"/>
  <c r="Q120" i="8" s="1"/>
  <c r="O202" i="8"/>
  <c r="G146" i="1"/>
  <c r="J146" i="1" s="1"/>
  <c r="D146" i="1"/>
  <c r="E146" i="1" s="1"/>
  <c r="F146" i="1" s="1"/>
  <c r="P203" i="8"/>
  <c r="H202" i="8"/>
  <c r="E201" i="8"/>
  <c r="C200" i="8"/>
  <c r="D200" i="8" s="1"/>
  <c r="K120" i="8" l="1"/>
  <c r="L120" i="8" s="1"/>
  <c r="O203" i="8"/>
  <c r="G147" i="1"/>
  <c r="J147" i="1" s="1"/>
  <c r="D147" i="1"/>
  <c r="E147" i="1" s="1"/>
  <c r="F147" i="1" s="1"/>
  <c r="P204" i="8"/>
  <c r="H203" i="8"/>
  <c r="E202" i="8"/>
  <c r="C201" i="8"/>
  <c r="D201" i="8" s="1"/>
  <c r="M121" i="8" l="1"/>
  <c r="I121" i="8"/>
  <c r="N121" i="8"/>
  <c r="J121" i="8"/>
  <c r="O204" i="8"/>
  <c r="G148" i="1"/>
  <c r="J148" i="1" s="1"/>
  <c r="D148" i="1"/>
  <c r="E148" i="1" s="1"/>
  <c r="F148" i="1" s="1"/>
  <c r="P205" i="8"/>
  <c r="H204" i="8"/>
  <c r="E203" i="8"/>
  <c r="C202" i="8"/>
  <c r="D202" i="8" s="1"/>
  <c r="Q121" i="8" l="1"/>
  <c r="K121" i="8"/>
  <c r="L121" i="8" s="1"/>
  <c r="J122" i="8" s="1"/>
  <c r="O205" i="8"/>
  <c r="D149" i="1"/>
  <c r="E149" i="1" s="1"/>
  <c r="F149" i="1" s="1"/>
  <c r="G149" i="1"/>
  <c r="J149" i="1" s="1"/>
  <c r="P206" i="8"/>
  <c r="H205" i="8"/>
  <c r="C203" i="8"/>
  <c r="D203" i="8" s="1"/>
  <c r="E204" i="8"/>
  <c r="M122" i="8" l="1"/>
  <c r="N122" i="8"/>
  <c r="I122" i="8"/>
  <c r="K122" i="8" s="1"/>
  <c r="L122" i="8" s="1"/>
  <c r="J123" i="8" s="1"/>
  <c r="O206" i="8"/>
  <c r="G150" i="1"/>
  <c r="J150" i="1" s="1"/>
  <c r="D150" i="1"/>
  <c r="E150" i="1" s="1"/>
  <c r="F150" i="1" s="1"/>
  <c r="P207" i="8"/>
  <c r="H206" i="8"/>
  <c r="C204" i="8"/>
  <c r="D204" i="8" s="1"/>
  <c r="E205" i="8"/>
  <c r="Q122" i="8" l="1"/>
  <c r="I123" i="8"/>
  <c r="K123" i="8" s="1"/>
  <c r="L123" i="8" s="1"/>
  <c r="N123" i="8"/>
  <c r="M123" i="8"/>
  <c r="Q123" i="8" s="1"/>
  <c r="O207" i="8"/>
  <c r="D151" i="1"/>
  <c r="E151" i="1" s="1"/>
  <c r="F151" i="1" s="1"/>
  <c r="G151" i="1"/>
  <c r="J151" i="1" s="1"/>
  <c r="P208" i="8"/>
  <c r="H207" i="8"/>
  <c r="E206" i="8"/>
  <c r="C205" i="8"/>
  <c r="D205" i="8" s="1"/>
  <c r="N124" i="8" l="1"/>
  <c r="M124" i="8"/>
  <c r="I124" i="8"/>
  <c r="J124" i="8"/>
  <c r="O208" i="8"/>
  <c r="D152" i="1"/>
  <c r="E152" i="1" s="1"/>
  <c r="F152" i="1"/>
  <c r="G152" i="1"/>
  <c r="J152" i="1" s="1"/>
  <c r="P209" i="8"/>
  <c r="H208" i="8"/>
  <c r="E207" i="8"/>
  <c r="C206" i="8"/>
  <c r="D206" i="8" s="1"/>
  <c r="K124" i="8" l="1"/>
  <c r="L124" i="8" s="1"/>
  <c r="I125" i="8" s="1"/>
  <c r="N125" i="8"/>
  <c r="Q124" i="8"/>
  <c r="O209" i="8"/>
  <c r="D153" i="1"/>
  <c r="E153" i="1" s="1"/>
  <c r="F153" i="1" s="1"/>
  <c r="G153" i="1"/>
  <c r="J153" i="1" s="1"/>
  <c r="P210" i="8"/>
  <c r="H209" i="8"/>
  <c r="C207" i="8"/>
  <c r="D207" i="8" s="1"/>
  <c r="E208" i="8"/>
  <c r="M125" i="8" l="1"/>
  <c r="Q125" i="8" s="1"/>
  <c r="J125" i="8"/>
  <c r="K125" i="8" s="1"/>
  <c r="L125" i="8" s="1"/>
  <c r="O210" i="8"/>
  <c r="G154" i="1"/>
  <c r="J154" i="1" s="1"/>
  <c r="D154" i="1"/>
  <c r="E154" i="1" s="1"/>
  <c r="F154" i="1" s="1"/>
  <c r="P211" i="8"/>
  <c r="H210" i="8"/>
  <c r="C208" i="8"/>
  <c r="D208" i="8" s="1"/>
  <c r="E209" i="8"/>
  <c r="I126" i="8" l="1"/>
  <c r="N126" i="8"/>
  <c r="J126" i="8"/>
  <c r="M126" i="8"/>
  <c r="O211" i="8"/>
  <c r="G155" i="1"/>
  <c r="J155" i="1" s="1"/>
  <c r="D155" i="1"/>
  <c r="E155" i="1" s="1"/>
  <c r="F155" i="1" s="1"/>
  <c r="P212" i="8"/>
  <c r="H211" i="8"/>
  <c r="E210" i="8"/>
  <c r="C209" i="8"/>
  <c r="D209" i="8" s="1"/>
  <c r="Q126" i="8" l="1"/>
  <c r="K126" i="8"/>
  <c r="L126" i="8" s="1"/>
  <c r="O212" i="8"/>
  <c r="G156" i="1"/>
  <c r="J156" i="1" s="1"/>
  <c r="D156" i="1"/>
  <c r="E156" i="1" s="1"/>
  <c r="F156" i="1"/>
  <c r="P213" i="8"/>
  <c r="H212" i="8"/>
  <c r="E211" i="8"/>
  <c r="C210" i="8"/>
  <c r="D210" i="8" s="1"/>
  <c r="J127" i="8" l="1"/>
  <c r="N127" i="8"/>
  <c r="M127" i="8"/>
  <c r="I127" i="8"/>
  <c r="K127" i="8" s="1"/>
  <c r="L127" i="8" s="1"/>
  <c r="O213" i="8"/>
  <c r="G157" i="1"/>
  <c r="J157" i="1" s="1"/>
  <c r="D157" i="1"/>
  <c r="E157" i="1" s="1"/>
  <c r="F157" i="1" s="1"/>
  <c r="P214" i="8"/>
  <c r="H213" i="8"/>
  <c r="C211" i="8"/>
  <c r="D211" i="8" s="1"/>
  <c r="E212" i="8"/>
  <c r="Q127" i="8" l="1"/>
  <c r="M128" i="8"/>
  <c r="J128" i="8"/>
  <c r="I128" i="8"/>
  <c r="Q128" i="8" s="1"/>
  <c r="N128" i="8"/>
  <c r="O214" i="8"/>
  <c r="G158" i="1"/>
  <c r="J158" i="1" s="1"/>
  <c r="D158" i="1"/>
  <c r="E158" i="1" s="1"/>
  <c r="F158" i="1" s="1"/>
  <c r="P215" i="8"/>
  <c r="H214" i="8"/>
  <c r="C212" i="8"/>
  <c r="D212" i="8" s="1"/>
  <c r="E213" i="8"/>
  <c r="K128" i="8" l="1"/>
  <c r="L128" i="8" s="1"/>
  <c r="O215" i="8"/>
  <c r="D159" i="1"/>
  <c r="E159" i="1" s="1"/>
  <c r="F159" i="1" s="1"/>
  <c r="G159" i="1"/>
  <c r="J159" i="1" s="1"/>
  <c r="P216" i="8"/>
  <c r="H215" i="8"/>
  <c r="E214" i="8"/>
  <c r="C213" i="8"/>
  <c r="D213" i="8" s="1"/>
  <c r="M129" i="8" l="1"/>
  <c r="N129" i="8"/>
  <c r="I129" i="8"/>
  <c r="J129" i="8"/>
  <c r="O216" i="8"/>
  <c r="D160" i="1"/>
  <c r="E160" i="1" s="1"/>
  <c r="F160" i="1" s="1"/>
  <c r="G160" i="1"/>
  <c r="J160" i="1" s="1"/>
  <c r="P217" i="8"/>
  <c r="H216" i="8"/>
  <c r="E215" i="8"/>
  <c r="C214" i="8"/>
  <c r="D214" i="8" s="1"/>
  <c r="Q129" i="8" l="1"/>
  <c r="K129" i="8"/>
  <c r="L129" i="8" s="1"/>
  <c r="M130" i="8" s="1"/>
  <c r="N130" i="8"/>
  <c r="O217" i="8"/>
  <c r="D161" i="1"/>
  <c r="E161" i="1" s="1"/>
  <c r="F161" i="1"/>
  <c r="G161" i="1"/>
  <c r="J161" i="1" s="1"/>
  <c r="P218" i="8"/>
  <c r="H217" i="8"/>
  <c r="E216" i="8"/>
  <c r="C215" i="8"/>
  <c r="D215" i="8" s="1"/>
  <c r="J130" i="8" l="1"/>
  <c r="I130" i="8"/>
  <c r="K130" i="8" s="1"/>
  <c r="L130" i="8" s="1"/>
  <c r="O218" i="8"/>
  <c r="G162" i="1"/>
  <c r="J162" i="1" s="1"/>
  <c r="D162" i="1"/>
  <c r="E162" i="1" s="1"/>
  <c r="F162" i="1"/>
  <c r="P219" i="8"/>
  <c r="H218" i="8"/>
  <c r="C216" i="8"/>
  <c r="D216" i="8" s="1"/>
  <c r="E217" i="8"/>
  <c r="J131" i="8" l="1"/>
  <c r="N131" i="8"/>
  <c r="M131" i="8"/>
  <c r="I131" i="8"/>
  <c r="K131" i="8" s="1"/>
  <c r="L131" i="8" s="1"/>
  <c r="J132" i="8" s="1"/>
  <c r="Q130" i="8"/>
  <c r="O219" i="8"/>
  <c r="G163" i="1"/>
  <c r="J163" i="1" s="1"/>
  <c r="D163" i="1"/>
  <c r="E163" i="1" s="1"/>
  <c r="F163" i="1"/>
  <c r="P220" i="8"/>
  <c r="H219" i="8"/>
  <c r="C217" i="8"/>
  <c r="D217" i="8" s="1"/>
  <c r="E218" i="8"/>
  <c r="I132" i="8" l="1"/>
  <c r="M132" i="8"/>
  <c r="N132" i="8"/>
  <c r="Q132" i="8"/>
  <c r="Q131" i="8"/>
  <c r="K132" i="8"/>
  <c r="L132" i="8" s="1"/>
  <c r="I133" i="8" s="1"/>
  <c r="O220" i="8"/>
  <c r="G164" i="1"/>
  <c r="J164" i="1" s="1"/>
  <c r="D164" i="1"/>
  <c r="E164" i="1" s="1"/>
  <c r="F164" i="1" s="1"/>
  <c r="P221" i="8"/>
  <c r="H220" i="8"/>
  <c r="E219" i="8"/>
  <c r="C218" i="8"/>
  <c r="D218" i="8" s="1"/>
  <c r="J133" i="8" l="1"/>
  <c r="K133" i="8" s="1"/>
  <c r="L133" i="8" s="1"/>
  <c r="N133" i="8"/>
  <c r="M133" i="8"/>
  <c r="O221" i="8"/>
  <c r="M134" i="8"/>
  <c r="N134" i="8"/>
  <c r="I134" i="8"/>
  <c r="Q133" i="8"/>
  <c r="G165" i="1"/>
  <c r="J165" i="1" s="1"/>
  <c r="D165" i="1"/>
  <c r="E165" i="1" s="1"/>
  <c r="F165" i="1" s="1"/>
  <c r="J134" i="8"/>
  <c r="P222" i="8"/>
  <c r="H221" i="8"/>
  <c r="E220" i="8"/>
  <c r="C219" i="8"/>
  <c r="D219" i="8" s="1"/>
  <c r="K134" i="8" l="1"/>
  <c r="L134" i="8" s="1"/>
  <c r="M135" i="8" s="1"/>
  <c r="O222" i="8"/>
  <c r="Q134" i="8"/>
  <c r="G166" i="1"/>
  <c r="J166" i="1" s="1"/>
  <c r="D166" i="1"/>
  <c r="E166" i="1" s="1"/>
  <c r="F166" i="1" s="1"/>
  <c r="P223" i="8"/>
  <c r="H222" i="8"/>
  <c r="C220" i="8"/>
  <c r="D220" i="8" s="1"/>
  <c r="E221" i="8"/>
  <c r="I135" i="8" l="1"/>
  <c r="N135" i="8"/>
  <c r="O223" i="8"/>
  <c r="D167" i="1"/>
  <c r="E167" i="1" s="1"/>
  <c r="F167" i="1" s="1"/>
  <c r="G167" i="1"/>
  <c r="J167" i="1" s="1"/>
  <c r="J135" i="8"/>
  <c r="K135" i="8" s="1"/>
  <c r="L135" i="8" s="1"/>
  <c r="P224" i="8"/>
  <c r="H223" i="8"/>
  <c r="C221" i="8"/>
  <c r="D221" i="8" s="1"/>
  <c r="E222" i="8"/>
  <c r="O224" i="8" l="1"/>
  <c r="M136" i="8"/>
  <c r="N136" i="8"/>
  <c r="I136" i="8"/>
  <c r="Q135" i="8"/>
  <c r="D168" i="1"/>
  <c r="E168" i="1" s="1"/>
  <c r="F168" i="1" s="1"/>
  <c r="G168" i="1"/>
  <c r="J168" i="1" s="1"/>
  <c r="P225" i="8"/>
  <c r="H224" i="8"/>
  <c r="E223" i="8"/>
  <c r="C222" i="8"/>
  <c r="D222" i="8" s="1"/>
  <c r="O225" i="8" l="1"/>
  <c r="D169" i="1"/>
  <c r="E169" i="1" s="1"/>
  <c r="F169" i="1" s="1"/>
  <c r="G169" i="1"/>
  <c r="J169" i="1" s="1"/>
  <c r="J136" i="8"/>
  <c r="K136" i="8" s="1"/>
  <c r="L136" i="8" s="1"/>
  <c r="P226" i="8"/>
  <c r="H225" i="8"/>
  <c r="E224" i="8"/>
  <c r="C223" i="8"/>
  <c r="D223" i="8" s="1"/>
  <c r="O226" i="8" l="1"/>
  <c r="M137" i="8"/>
  <c r="N137" i="8"/>
  <c r="I137" i="8"/>
  <c r="Q136" i="8"/>
  <c r="G170" i="1"/>
  <c r="J170" i="1" s="1"/>
  <c r="D170" i="1"/>
  <c r="E170" i="1" s="1"/>
  <c r="F170" i="1" s="1"/>
  <c r="P227" i="8"/>
  <c r="H226" i="8"/>
  <c r="C224" i="8"/>
  <c r="D224" i="8" s="1"/>
  <c r="E225" i="8"/>
  <c r="O227" i="8" l="1"/>
  <c r="G171" i="1"/>
  <c r="J171" i="1" s="1"/>
  <c r="D171" i="1"/>
  <c r="E171" i="1" s="1"/>
  <c r="F171" i="1" s="1"/>
  <c r="J137" i="8"/>
  <c r="K137" i="8" s="1"/>
  <c r="L137" i="8" s="1"/>
  <c r="P228" i="8"/>
  <c r="H227" i="8"/>
  <c r="E226" i="8"/>
  <c r="C225" i="8"/>
  <c r="D225" i="8" s="1"/>
  <c r="O228" i="8" l="1"/>
  <c r="M138" i="8"/>
  <c r="N138" i="8"/>
  <c r="I138" i="8"/>
  <c r="Q137" i="8"/>
  <c r="G172" i="1"/>
  <c r="J172" i="1" s="1"/>
  <c r="D172" i="1"/>
  <c r="E172" i="1" s="1"/>
  <c r="F172" i="1" s="1"/>
  <c r="P229" i="8"/>
  <c r="H228" i="8"/>
  <c r="E227" i="8"/>
  <c r="C226" i="8"/>
  <c r="D226" i="8" s="1"/>
  <c r="O229" i="8" l="1"/>
  <c r="G173" i="1"/>
  <c r="J173" i="1" s="1"/>
  <c r="D173" i="1"/>
  <c r="E173" i="1" s="1"/>
  <c r="F173" i="1" s="1"/>
  <c r="J138" i="8"/>
  <c r="K138" i="8" s="1"/>
  <c r="L138" i="8" s="1"/>
  <c r="P230" i="8"/>
  <c r="H229" i="8"/>
  <c r="E228" i="8"/>
  <c r="C227" i="8"/>
  <c r="D227" i="8" s="1"/>
  <c r="O230" i="8" l="1"/>
  <c r="M139" i="8"/>
  <c r="N139" i="8"/>
  <c r="I139" i="8"/>
  <c r="Q138" i="8"/>
  <c r="G174" i="1"/>
  <c r="J174" i="1" s="1"/>
  <c r="D174" i="1"/>
  <c r="E174" i="1" s="1"/>
  <c r="F174" i="1" s="1"/>
  <c r="J139" i="8"/>
  <c r="P231" i="8"/>
  <c r="H230" i="8"/>
  <c r="C228" i="8"/>
  <c r="D228" i="8" s="1"/>
  <c r="E229" i="8"/>
  <c r="K139" i="8" l="1"/>
  <c r="L139" i="8" s="1"/>
  <c r="M140" i="8" s="1"/>
  <c r="O231" i="8"/>
  <c r="Q139" i="8"/>
  <c r="D175" i="1"/>
  <c r="E175" i="1" s="1"/>
  <c r="F175" i="1" s="1"/>
  <c r="G175" i="1"/>
  <c r="J175" i="1" s="1"/>
  <c r="P232" i="8"/>
  <c r="H231" i="8"/>
  <c r="C229" i="8"/>
  <c r="D229" i="8" s="1"/>
  <c r="E230" i="8"/>
  <c r="J140" i="8" l="1"/>
  <c r="I140" i="8"/>
  <c r="Q140" i="8" s="1"/>
  <c r="N140" i="8"/>
  <c r="O232" i="8"/>
  <c r="D176" i="1"/>
  <c r="E176" i="1" s="1"/>
  <c r="F176" i="1" s="1"/>
  <c r="G176" i="1"/>
  <c r="J176" i="1" s="1"/>
  <c r="P233" i="8"/>
  <c r="H232" i="8"/>
  <c r="E231" i="8"/>
  <c r="C230" i="8"/>
  <c r="D230" i="8" s="1"/>
  <c r="K140" i="8" l="1"/>
  <c r="L140" i="8" s="1"/>
  <c r="M141" i="8" s="1"/>
  <c r="O233" i="8"/>
  <c r="D177" i="1"/>
  <c r="E177" i="1" s="1"/>
  <c r="F177" i="1" s="1"/>
  <c r="G177" i="1"/>
  <c r="J177" i="1" s="1"/>
  <c r="P234" i="8"/>
  <c r="H233" i="8"/>
  <c r="E232" i="8"/>
  <c r="C231" i="8"/>
  <c r="D231" i="8" s="1"/>
  <c r="J141" i="8" l="1"/>
  <c r="N141" i="8"/>
  <c r="I141" i="8"/>
  <c r="K141" i="8" s="1"/>
  <c r="L141" i="8" s="1"/>
  <c r="O234" i="8"/>
  <c r="G178" i="1"/>
  <c r="J178" i="1" s="1"/>
  <c r="D178" i="1"/>
  <c r="E178" i="1" s="1"/>
  <c r="F178" i="1" s="1"/>
  <c r="P235" i="8"/>
  <c r="H234" i="8"/>
  <c r="C232" i="8"/>
  <c r="D232" i="8" s="1"/>
  <c r="E233" i="8"/>
  <c r="Q141" i="8" l="1"/>
  <c r="M142" i="8"/>
  <c r="N142" i="8"/>
  <c r="I142" i="8"/>
  <c r="O235" i="8"/>
  <c r="G179" i="1"/>
  <c r="J179" i="1" s="1"/>
  <c r="D179" i="1"/>
  <c r="E179" i="1" s="1"/>
  <c r="F179" i="1" s="1"/>
  <c r="J142" i="8"/>
  <c r="P236" i="8"/>
  <c r="H235" i="8"/>
  <c r="C233" i="8"/>
  <c r="D233" i="8" s="1"/>
  <c r="E234" i="8"/>
  <c r="K142" i="8" l="1"/>
  <c r="L142" i="8" s="1"/>
  <c r="M143" i="8" s="1"/>
  <c r="O236" i="8"/>
  <c r="N143" i="8"/>
  <c r="I143" i="8"/>
  <c r="Q142" i="8"/>
  <c r="G180" i="1"/>
  <c r="J180" i="1" s="1"/>
  <c r="D180" i="1"/>
  <c r="E180" i="1" s="1"/>
  <c r="F180" i="1" s="1"/>
  <c r="P237" i="8"/>
  <c r="H236" i="8"/>
  <c r="E235" i="8"/>
  <c r="C234" i="8"/>
  <c r="D234" i="8" s="1"/>
  <c r="O237" i="8" l="1"/>
  <c r="G181" i="1"/>
  <c r="J181" i="1" s="1"/>
  <c r="D181" i="1"/>
  <c r="E181" i="1" s="1"/>
  <c r="F181" i="1" s="1"/>
  <c r="J143" i="8"/>
  <c r="K143" i="8" s="1"/>
  <c r="L143" i="8" s="1"/>
  <c r="P238" i="8"/>
  <c r="H237" i="8"/>
  <c r="E236" i="8"/>
  <c r="C235" i="8"/>
  <c r="D235" i="8" s="1"/>
  <c r="O238" i="8" l="1"/>
  <c r="M144" i="8"/>
  <c r="N144" i="8"/>
  <c r="I144" i="8"/>
  <c r="Q143" i="8"/>
  <c r="G182" i="1"/>
  <c r="J182" i="1" s="1"/>
  <c r="D182" i="1"/>
  <c r="E182" i="1" s="1"/>
  <c r="F182" i="1" s="1"/>
  <c r="J144" i="8"/>
  <c r="P239" i="8"/>
  <c r="H238" i="8"/>
  <c r="C236" i="8"/>
  <c r="D236" i="8" s="1"/>
  <c r="E237" i="8"/>
  <c r="K144" i="8" l="1"/>
  <c r="L144" i="8" s="1"/>
  <c r="M145" i="8" s="1"/>
  <c r="O239" i="8"/>
  <c r="Q144" i="8"/>
  <c r="D183" i="1"/>
  <c r="E183" i="1" s="1"/>
  <c r="F183" i="1" s="1"/>
  <c r="G183" i="1"/>
  <c r="J183" i="1" s="1"/>
  <c r="P240" i="8"/>
  <c r="H239" i="8"/>
  <c r="C237" i="8"/>
  <c r="D237" i="8" s="1"/>
  <c r="E238" i="8"/>
  <c r="I145" i="8" l="1"/>
  <c r="N145" i="8"/>
  <c r="O240" i="8"/>
  <c r="D184" i="1"/>
  <c r="E184" i="1" s="1"/>
  <c r="F184" i="1"/>
  <c r="G184" i="1"/>
  <c r="J184" i="1" s="1"/>
  <c r="J145" i="8"/>
  <c r="P241" i="8"/>
  <c r="H240" i="8"/>
  <c r="C238" i="8"/>
  <c r="D238" i="8" s="1"/>
  <c r="E239" i="8"/>
  <c r="K145" i="8" l="1"/>
  <c r="L145" i="8" s="1"/>
  <c r="M146" i="8" s="1"/>
  <c r="O241" i="8"/>
  <c r="N146" i="8"/>
  <c r="I146" i="8"/>
  <c r="Q145" i="8"/>
  <c r="D185" i="1"/>
  <c r="E185" i="1" s="1"/>
  <c r="F185" i="1" s="1"/>
  <c r="G185" i="1"/>
  <c r="J185" i="1" s="1"/>
  <c r="J146" i="8"/>
  <c r="K146" i="8" s="1"/>
  <c r="L146" i="8" s="1"/>
  <c r="P242" i="8"/>
  <c r="H241" i="8"/>
  <c r="E240" i="8"/>
  <c r="C239" i="8"/>
  <c r="D239" i="8" s="1"/>
  <c r="M147" i="8" l="1"/>
  <c r="N147" i="8"/>
  <c r="O242" i="8"/>
  <c r="I147" i="8"/>
  <c r="Q146" i="8"/>
  <c r="G186" i="1"/>
  <c r="J186" i="1" s="1"/>
  <c r="D186" i="1"/>
  <c r="E186" i="1" s="1"/>
  <c r="F186" i="1" s="1"/>
  <c r="P243" i="8"/>
  <c r="H242" i="8"/>
  <c r="E241" i="8"/>
  <c r="C240" i="8"/>
  <c r="D240" i="8" s="1"/>
  <c r="O243" i="8" l="1"/>
  <c r="G187" i="1"/>
  <c r="J187" i="1" s="1"/>
  <c r="D187" i="1"/>
  <c r="E187" i="1" s="1"/>
  <c r="F187" i="1" s="1"/>
  <c r="J147" i="8"/>
  <c r="K147" i="8" s="1"/>
  <c r="L147" i="8" s="1"/>
  <c r="P244" i="8"/>
  <c r="H243" i="8"/>
  <c r="C241" i="8"/>
  <c r="D241" i="8" s="1"/>
  <c r="E242" i="8"/>
  <c r="O244" i="8" l="1"/>
  <c r="M148" i="8"/>
  <c r="N148" i="8"/>
  <c r="I148" i="8"/>
  <c r="Q147" i="8"/>
  <c r="G188" i="1"/>
  <c r="J188" i="1" s="1"/>
  <c r="D188" i="1"/>
  <c r="E188" i="1" s="1"/>
  <c r="F188" i="1" s="1"/>
  <c r="J148" i="8"/>
  <c r="K148" i="8" s="1"/>
  <c r="L148" i="8" s="1"/>
  <c r="P245" i="8"/>
  <c r="H244" i="8"/>
  <c r="C242" i="8"/>
  <c r="D242" i="8" s="1"/>
  <c r="E243" i="8"/>
  <c r="M149" i="8" l="1"/>
  <c r="N149" i="8"/>
  <c r="O245" i="8"/>
  <c r="I149" i="8"/>
  <c r="Q148" i="8"/>
  <c r="D189" i="1"/>
  <c r="E189" i="1" s="1"/>
  <c r="F189" i="1"/>
  <c r="G189" i="1"/>
  <c r="J189" i="1" s="1"/>
  <c r="P246" i="8"/>
  <c r="H245" i="8"/>
  <c r="E244" i="8"/>
  <c r="C243" i="8"/>
  <c r="D243" i="8" s="1"/>
  <c r="O246" i="8" l="1"/>
  <c r="D190" i="1"/>
  <c r="E190" i="1" s="1"/>
  <c r="G190" i="1"/>
  <c r="J190" i="1" s="1"/>
  <c r="F190" i="1"/>
  <c r="J149" i="8"/>
  <c r="K149" i="8" s="1"/>
  <c r="L149" i="8" s="1"/>
  <c r="P247" i="8"/>
  <c r="H246" i="8"/>
  <c r="E245" i="8"/>
  <c r="C244" i="8"/>
  <c r="D244" i="8" s="1"/>
  <c r="O247" i="8" l="1"/>
  <c r="M150" i="8"/>
  <c r="N150" i="8"/>
  <c r="I150" i="8"/>
  <c r="Q149" i="8"/>
  <c r="D191" i="1"/>
  <c r="E191" i="1" s="1"/>
  <c r="G191" i="1"/>
  <c r="J191" i="1" s="1"/>
  <c r="F191" i="1"/>
  <c r="P248" i="8"/>
  <c r="H247" i="8"/>
  <c r="C245" i="8"/>
  <c r="D245" i="8" s="1"/>
  <c r="E246" i="8"/>
  <c r="O248" i="8" l="1"/>
  <c r="D192" i="1"/>
  <c r="E192" i="1" s="1"/>
  <c r="F192" i="1" s="1"/>
  <c r="G192" i="1"/>
  <c r="J192" i="1" s="1"/>
  <c r="J6" i="1" s="1"/>
  <c r="J7" i="1" s="1"/>
  <c r="J150" i="8"/>
  <c r="K150" i="8" s="1"/>
  <c r="L150" i="8" s="1"/>
  <c r="P249" i="8"/>
  <c r="H248" i="8"/>
  <c r="C246" i="8"/>
  <c r="D246" i="8" s="1"/>
  <c r="E247" i="8"/>
  <c r="O249" i="8" l="1"/>
  <c r="M151" i="8"/>
  <c r="N151" i="8"/>
  <c r="I151" i="8"/>
  <c r="Q150" i="8"/>
  <c r="J151" i="8"/>
  <c r="P250" i="8"/>
  <c r="H249" i="8"/>
  <c r="E248" i="8"/>
  <c r="C247" i="8"/>
  <c r="D247" i="8" s="1"/>
  <c r="K151" i="8" l="1"/>
  <c r="L151" i="8" s="1"/>
  <c r="M152" i="8" s="1"/>
  <c r="O250" i="8"/>
  <c r="Q151" i="8"/>
  <c r="J152" i="8"/>
  <c r="P251" i="8"/>
  <c r="H250" i="8"/>
  <c r="E249" i="8"/>
  <c r="C248" i="8"/>
  <c r="D248" i="8" s="1"/>
  <c r="I152" i="8" l="1"/>
  <c r="N152" i="8"/>
  <c r="K152" i="8"/>
  <c r="L152" i="8" s="1"/>
  <c r="M153" i="8" s="1"/>
  <c r="O251" i="8"/>
  <c r="Q152" i="8"/>
  <c r="P252" i="8"/>
  <c r="H251" i="8"/>
  <c r="E250" i="8"/>
  <c r="C249" i="8"/>
  <c r="D249" i="8" s="1"/>
  <c r="I153" i="8" l="1"/>
  <c r="N153" i="8"/>
  <c r="O252" i="8"/>
  <c r="J153" i="8"/>
  <c r="K153" i="8" s="1"/>
  <c r="L153" i="8" s="1"/>
  <c r="P253" i="8"/>
  <c r="H252" i="8"/>
  <c r="C250" i="8"/>
  <c r="D250" i="8" s="1"/>
  <c r="E251" i="8"/>
  <c r="O253" i="8" l="1"/>
  <c r="M154" i="8"/>
  <c r="N154" i="8"/>
  <c r="I154" i="8"/>
  <c r="Q153" i="8"/>
  <c r="J154" i="8"/>
  <c r="P254" i="8"/>
  <c r="H253" i="8"/>
  <c r="C251" i="8"/>
  <c r="D251" i="8" s="1"/>
  <c r="E252" i="8"/>
  <c r="K154" i="8" l="1"/>
  <c r="L154" i="8" s="1"/>
  <c r="N155" i="8" s="1"/>
  <c r="O254" i="8"/>
  <c r="Q154" i="8"/>
  <c r="P255" i="8"/>
  <c r="H254" i="8"/>
  <c r="E253" i="8"/>
  <c r="C252" i="8"/>
  <c r="D252" i="8" s="1"/>
  <c r="I155" i="8" l="1"/>
  <c r="M155" i="8"/>
  <c r="O255" i="8"/>
  <c r="J155" i="8"/>
  <c r="K155" i="8" s="1"/>
  <c r="L155" i="8" s="1"/>
  <c r="P256" i="8"/>
  <c r="H255" i="8"/>
  <c r="E254" i="8"/>
  <c r="C253" i="8"/>
  <c r="D253" i="8" s="1"/>
  <c r="O256" i="8" l="1"/>
  <c r="M156" i="8"/>
  <c r="N156" i="8"/>
  <c r="I156" i="8"/>
  <c r="Q155" i="8"/>
  <c r="P257" i="8"/>
  <c r="H256" i="8"/>
  <c r="C254" i="8"/>
  <c r="D254" i="8" s="1"/>
  <c r="E255" i="8"/>
  <c r="O257" i="8" l="1"/>
  <c r="J156" i="8"/>
  <c r="K156" i="8" s="1"/>
  <c r="L156" i="8" s="1"/>
  <c r="P258" i="8"/>
  <c r="H257" i="8"/>
  <c r="C255" i="8"/>
  <c r="D255" i="8" s="1"/>
  <c r="E256" i="8"/>
  <c r="O258" i="8" l="1"/>
  <c r="H258" i="8"/>
  <c r="P259" i="8"/>
  <c r="M157" i="8"/>
  <c r="N157" i="8"/>
  <c r="I157" i="8"/>
  <c r="Q156" i="8"/>
  <c r="E257" i="8"/>
  <c r="C256" i="8"/>
  <c r="D256" i="8" s="1"/>
  <c r="O259" i="8" l="1"/>
  <c r="H259" i="8"/>
  <c r="P260" i="8"/>
  <c r="J157" i="8"/>
  <c r="K157" i="8" s="1"/>
  <c r="L157" i="8" s="1"/>
  <c r="E258" i="8"/>
  <c r="C258" i="8" s="1"/>
  <c r="D258" i="8" s="1"/>
  <c r="C257" i="8"/>
  <c r="D257" i="8" s="1"/>
  <c r="H260" i="8" l="1"/>
  <c r="P261" i="8"/>
  <c r="M158" i="8"/>
  <c r="N158" i="8"/>
  <c r="O260" i="8"/>
  <c r="I158" i="8"/>
  <c r="Q157" i="8"/>
  <c r="J158" i="8"/>
  <c r="H261" i="8" l="1"/>
  <c r="P262" i="8"/>
  <c r="O261" i="8"/>
  <c r="K158" i="8"/>
  <c r="L158" i="8" s="1"/>
  <c r="I159" i="8" s="1"/>
  <c r="Q158" i="8"/>
  <c r="M159" i="8" l="1"/>
  <c r="N159" i="8"/>
  <c r="H262" i="8"/>
  <c r="P263" i="8"/>
  <c r="J159" i="8"/>
  <c r="K159" i="8" s="1"/>
  <c r="L159" i="8" s="1"/>
  <c r="I160" i="8" s="1"/>
  <c r="O262" i="8"/>
  <c r="Q159" i="8"/>
  <c r="H263" i="8" l="1"/>
  <c r="P264" i="8"/>
  <c r="O263" i="8"/>
  <c r="M160" i="8"/>
  <c r="Q160" i="8" s="1"/>
  <c r="N160" i="8"/>
  <c r="J160" i="8"/>
  <c r="K160" i="8" s="1"/>
  <c r="L160" i="8" s="1"/>
  <c r="J161" i="8" s="1"/>
  <c r="M161" i="8" l="1"/>
  <c r="N161" i="8"/>
  <c r="H264" i="8"/>
  <c r="P265" i="8"/>
  <c r="I161" i="8"/>
  <c r="K161" i="8" s="1"/>
  <c r="L161" i="8" s="1"/>
  <c r="O264" i="8"/>
  <c r="Q161" i="8" l="1"/>
  <c r="M162" i="8"/>
  <c r="N162" i="8"/>
  <c r="J162" i="8"/>
  <c r="I162" i="8"/>
  <c r="H265" i="8"/>
  <c r="P266" i="8"/>
  <c r="O265" i="8"/>
  <c r="Q162" i="8" l="1"/>
  <c r="K162" i="8"/>
  <c r="L162" i="8" s="1"/>
  <c r="H266" i="8"/>
  <c r="P267" i="8"/>
  <c r="O266" i="8"/>
  <c r="H267" i="8" l="1"/>
  <c r="P268" i="8"/>
  <c r="O267" i="8"/>
  <c r="M163" i="8"/>
  <c r="N163" i="8"/>
  <c r="J163" i="8"/>
  <c r="I163" i="8"/>
  <c r="Q163" i="8" s="1"/>
  <c r="K163" i="8" l="1"/>
  <c r="L163" i="8" s="1"/>
  <c r="M164" i="8" s="1"/>
  <c r="H268" i="8"/>
  <c r="P269" i="8"/>
  <c r="O268" i="8"/>
  <c r="J164" i="8" l="1"/>
  <c r="N164" i="8"/>
  <c r="I164" i="8"/>
  <c r="K164" i="8" s="1"/>
  <c r="L164" i="8" s="1"/>
  <c r="O269" i="8"/>
  <c r="H269" i="8"/>
  <c r="P270" i="8"/>
  <c r="Q164" i="8" l="1"/>
  <c r="I165" i="8"/>
  <c r="J165" i="8"/>
  <c r="N165" i="8"/>
  <c r="M165" i="8"/>
  <c r="Q165" i="8" s="1"/>
  <c r="H270" i="8"/>
  <c r="P271" i="8"/>
  <c r="O270" i="8"/>
  <c r="K165" i="8" l="1"/>
  <c r="L165" i="8" s="1"/>
  <c r="M166" i="8" s="1"/>
  <c r="O271" i="8"/>
  <c r="H271" i="8"/>
  <c r="P272" i="8"/>
  <c r="J166" i="8" l="1"/>
  <c r="I166" i="8"/>
  <c r="K166" i="8" s="1"/>
  <c r="L166" i="8" s="1"/>
  <c r="I167" i="8" s="1"/>
  <c r="N166" i="8"/>
  <c r="H272" i="8"/>
  <c r="P273" i="8"/>
  <c r="O272" i="8"/>
  <c r="Q166" i="8" l="1"/>
  <c r="M167" i="8"/>
  <c r="Q167" i="8" s="1"/>
  <c r="N167" i="8"/>
  <c r="J167" i="8"/>
  <c r="K167" i="8" s="1"/>
  <c r="L167" i="8" s="1"/>
  <c r="H273" i="8"/>
  <c r="P274" i="8"/>
  <c r="O273" i="8"/>
  <c r="H274" i="8" l="1"/>
  <c r="P275" i="8"/>
  <c r="O274" i="8"/>
  <c r="M168" i="8"/>
  <c r="N168" i="8"/>
  <c r="J168" i="8"/>
  <c r="I168" i="8"/>
  <c r="Q168" i="8" s="1"/>
  <c r="K168" i="8" l="1"/>
  <c r="L168" i="8" s="1"/>
  <c r="M169" i="8" s="1"/>
  <c r="H275" i="8"/>
  <c r="P276" i="8"/>
  <c r="O275" i="8"/>
  <c r="J169" i="8" l="1"/>
  <c r="N169" i="8"/>
  <c r="I169" i="8"/>
  <c r="K169" i="8" s="1"/>
  <c r="L169" i="8" s="1"/>
  <c r="O276" i="8"/>
  <c r="H276" i="8"/>
  <c r="P277" i="8"/>
  <c r="Q169" i="8" l="1"/>
  <c r="N170" i="8"/>
  <c r="M170" i="8"/>
  <c r="I170" i="8"/>
  <c r="J170" i="8"/>
  <c r="H277" i="8"/>
  <c r="P278" i="8"/>
  <c r="O277" i="8"/>
  <c r="K170" i="8" l="1"/>
  <c r="L170" i="8" s="1"/>
  <c r="Q170" i="8"/>
  <c r="M171" i="8"/>
  <c r="N171" i="8"/>
  <c r="I171" i="8"/>
  <c r="J171" i="8"/>
  <c r="H278" i="8"/>
  <c r="P279" i="8"/>
  <c r="O278" i="8"/>
  <c r="Q171" i="8" l="1"/>
  <c r="K171" i="8"/>
  <c r="L171" i="8" s="1"/>
  <c r="M172" i="8" s="1"/>
  <c r="O279" i="8"/>
  <c r="H279" i="8"/>
  <c r="P280" i="8"/>
  <c r="I172" i="8" l="1"/>
  <c r="J172" i="8"/>
  <c r="N172" i="8"/>
  <c r="Q172" i="8"/>
  <c r="K172" i="8"/>
  <c r="L172" i="8" s="1"/>
  <c r="M173" i="8" s="1"/>
  <c r="H280" i="8"/>
  <c r="P281" i="8"/>
  <c r="O280" i="8"/>
  <c r="I173" i="8" l="1"/>
  <c r="Q173" i="8" s="1"/>
  <c r="J173" i="8"/>
  <c r="K173" i="8" s="1"/>
  <c r="L173" i="8" s="1"/>
  <c r="N173" i="8"/>
  <c r="H281" i="8"/>
  <c r="P282" i="8"/>
  <c r="O281" i="8"/>
  <c r="H282" i="8" l="1"/>
  <c r="P283" i="8"/>
  <c r="O282" i="8"/>
  <c r="M174" i="8"/>
  <c r="N174" i="8"/>
  <c r="J174" i="8"/>
  <c r="I174" i="8"/>
  <c r="Q174" i="8" l="1"/>
  <c r="H283" i="8"/>
  <c r="P284" i="8"/>
  <c r="K174" i="8"/>
  <c r="L174" i="8" s="1"/>
  <c r="O283" i="8"/>
  <c r="M175" i="8" l="1"/>
  <c r="N175" i="8"/>
  <c r="J175" i="8"/>
  <c r="I175" i="8"/>
  <c r="O284" i="8"/>
  <c r="H284" i="8"/>
  <c r="P285" i="8"/>
  <c r="Q175" i="8" l="1"/>
  <c r="H285" i="8"/>
  <c r="P286" i="8"/>
  <c r="K175" i="8"/>
  <c r="L175" i="8" s="1"/>
  <c r="O285" i="8"/>
  <c r="M176" i="8" l="1"/>
  <c r="N176" i="8"/>
  <c r="J176" i="8"/>
  <c r="I176" i="8"/>
  <c r="H286" i="8"/>
  <c r="P287" i="8"/>
  <c r="O286" i="8"/>
  <c r="Q176" i="8" l="1"/>
  <c r="K176" i="8"/>
  <c r="L176" i="8" s="1"/>
  <c r="M177" i="8" s="1"/>
  <c r="O287" i="8"/>
  <c r="H287" i="8"/>
  <c r="P288" i="8"/>
  <c r="N177" i="8" l="1"/>
  <c r="I177" i="8"/>
  <c r="J177" i="8"/>
  <c r="K177" i="8" s="1"/>
  <c r="L177" i="8" s="1"/>
  <c r="Q177" i="8"/>
  <c r="O288" i="8"/>
  <c r="H288" i="8"/>
  <c r="P289" i="8"/>
  <c r="H289" i="8" l="1"/>
  <c r="P290" i="8"/>
  <c r="O289" i="8"/>
  <c r="M178" i="8"/>
  <c r="N178" i="8"/>
  <c r="J178" i="8"/>
  <c r="I178" i="8"/>
  <c r="K178" i="8" l="1"/>
  <c r="L178" i="8" s="1"/>
  <c r="Q178" i="8"/>
  <c r="H290" i="8"/>
  <c r="P291" i="8"/>
  <c r="M179" i="8"/>
  <c r="N179" i="8"/>
  <c r="J179" i="8"/>
  <c r="I179" i="8"/>
  <c r="O290" i="8"/>
  <c r="Q179" i="8" l="1"/>
  <c r="H291" i="8"/>
  <c r="P292" i="8"/>
  <c r="O291" i="8"/>
  <c r="K179" i="8"/>
  <c r="L179" i="8" s="1"/>
  <c r="M180" i="8" l="1"/>
  <c r="N180" i="8"/>
  <c r="J180" i="8"/>
  <c r="I180" i="8"/>
  <c r="Q180" i="8" s="1"/>
  <c r="H292" i="8"/>
  <c r="P293" i="8"/>
  <c r="O292" i="8"/>
  <c r="K180" i="8" l="1"/>
  <c r="L180" i="8" s="1"/>
  <c r="M181" i="8" s="1"/>
  <c r="O293" i="8"/>
  <c r="H293" i="8"/>
  <c r="P294" i="8"/>
  <c r="N181" i="8" l="1"/>
  <c r="I181" i="8"/>
  <c r="Q181" i="8" s="1"/>
  <c r="J181" i="8"/>
  <c r="K181" i="8" s="1"/>
  <c r="L181" i="8" s="1"/>
  <c r="H294" i="8"/>
  <c r="P295" i="8"/>
  <c r="O294" i="8"/>
  <c r="O295" i="8" l="1"/>
  <c r="H295" i="8"/>
  <c r="P296" i="8"/>
  <c r="M182" i="8"/>
  <c r="N182" i="8"/>
  <c r="J182" i="8"/>
  <c r="I182" i="8"/>
  <c r="Q182" i="8" s="1"/>
  <c r="K182" i="8" l="1"/>
  <c r="L182" i="8" s="1"/>
  <c r="M183" i="8" s="1"/>
  <c r="H296" i="8"/>
  <c r="P297" i="8"/>
  <c r="N183" i="8"/>
  <c r="J183" i="8"/>
  <c r="O296" i="8"/>
  <c r="I183" i="8" l="1"/>
  <c r="Q183" i="8" s="1"/>
  <c r="H297" i="8"/>
  <c r="P298" i="8"/>
  <c r="O297" i="8"/>
  <c r="K183" i="8" l="1"/>
  <c r="L183" i="8" s="1"/>
  <c r="O298" i="8"/>
  <c r="H298" i="8"/>
  <c r="P299" i="8"/>
  <c r="J184" i="8" l="1"/>
  <c r="M184" i="8"/>
  <c r="I184" i="8"/>
  <c r="K184" i="8" s="1"/>
  <c r="L184" i="8" s="1"/>
  <c r="N184" i="8"/>
  <c r="H299" i="8"/>
  <c r="P300" i="8"/>
  <c r="O299" i="8"/>
  <c r="J185" i="8" l="1"/>
  <c r="I185" i="8"/>
  <c r="N185" i="8"/>
  <c r="M185" i="8"/>
  <c r="Q184" i="8"/>
  <c r="O300" i="8"/>
  <c r="H300" i="8"/>
  <c r="P301" i="8"/>
  <c r="Q185" i="8" l="1"/>
  <c r="K185" i="8"/>
  <c r="L185" i="8" s="1"/>
  <c r="H301" i="8"/>
  <c r="P302" i="8"/>
  <c r="O301" i="8"/>
  <c r="I186" i="8" l="1"/>
  <c r="M186" i="8"/>
  <c r="J186" i="8"/>
  <c r="K186" i="8" s="1"/>
  <c r="L186" i="8" s="1"/>
  <c r="N186" i="8"/>
  <c r="H302" i="8"/>
  <c r="P303" i="8"/>
  <c r="O302" i="8"/>
  <c r="I187" i="8" l="1"/>
  <c r="J187" i="8"/>
  <c r="N187" i="8"/>
  <c r="M187" i="8"/>
  <c r="K187" i="8"/>
  <c r="L187" i="8" s="1"/>
  <c r="Q186" i="8"/>
  <c r="H303" i="8"/>
  <c r="P304" i="8"/>
  <c r="O303" i="8"/>
  <c r="N188" i="8" l="1"/>
  <c r="I188" i="8"/>
  <c r="J188" i="8"/>
  <c r="K188" i="8" s="1"/>
  <c r="L188" i="8" s="1"/>
  <c r="M188" i="8"/>
  <c r="Q188" i="8" s="1"/>
  <c r="Q187" i="8"/>
  <c r="P305" i="8"/>
  <c r="H304" i="8"/>
  <c r="O304" i="8"/>
  <c r="I189" i="8" l="1"/>
  <c r="J189" i="8"/>
  <c r="M189" i="8"/>
  <c r="N189" i="8"/>
  <c r="O305" i="8"/>
  <c r="H305" i="8"/>
  <c r="P306" i="8"/>
  <c r="K189" i="8" l="1"/>
  <c r="L189" i="8" s="1"/>
  <c r="J190" i="8" s="1"/>
  <c r="Q189" i="8"/>
  <c r="O306" i="8"/>
  <c r="H306" i="8"/>
  <c r="P307" i="8"/>
  <c r="N190" i="8" l="1"/>
  <c r="I190" i="8"/>
  <c r="K190" i="8" s="1"/>
  <c r="L190" i="8" s="1"/>
  <c r="J191" i="8" s="1"/>
  <c r="M190" i="8"/>
  <c r="Q190" i="8" s="1"/>
  <c r="H307" i="8"/>
  <c r="P308" i="8"/>
  <c r="O307" i="8"/>
  <c r="N191" i="8" l="1"/>
  <c r="M191" i="8"/>
  <c r="I191" i="8"/>
  <c r="K191" i="8" s="1"/>
  <c r="L191" i="8" s="1"/>
  <c r="H308" i="8"/>
  <c r="P309" i="8"/>
  <c r="O308" i="8"/>
  <c r="Q191" i="8" l="1"/>
  <c r="I192" i="8"/>
  <c r="M192" i="8"/>
  <c r="N192" i="8"/>
  <c r="J192" i="8"/>
  <c r="O309" i="8"/>
  <c r="H309" i="8"/>
  <c r="P310" i="8"/>
  <c r="Q192" i="8" l="1"/>
  <c r="K192" i="8"/>
  <c r="L192" i="8" s="1"/>
  <c r="O310" i="8"/>
  <c r="H310" i="8"/>
  <c r="P311" i="8"/>
  <c r="M193" i="8" l="1"/>
  <c r="J193" i="8"/>
  <c r="I193" i="8"/>
  <c r="N193" i="8"/>
  <c r="O311" i="8"/>
  <c r="H311" i="8"/>
  <c r="P312" i="8"/>
  <c r="K193" i="8" l="1"/>
  <c r="L193" i="8" s="1"/>
  <c r="N194" i="8" s="1"/>
  <c r="Q193" i="8"/>
  <c r="H312" i="8"/>
  <c r="P313" i="8"/>
  <c r="O312" i="8"/>
  <c r="M194" i="8" l="1"/>
  <c r="I194" i="8"/>
  <c r="J194" i="8"/>
  <c r="H313" i="8"/>
  <c r="P314" i="8"/>
  <c r="O313" i="8"/>
  <c r="Q194" i="8" l="1"/>
  <c r="K194" i="8"/>
  <c r="L194" i="8" s="1"/>
  <c r="I195" i="8" s="1"/>
  <c r="H314" i="8"/>
  <c r="P315" i="8"/>
  <c r="O314" i="8"/>
  <c r="J195" i="8" l="1"/>
  <c r="K195" i="8" s="1"/>
  <c r="L195" i="8" s="1"/>
  <c r="M195" i="8"/>
  <c r="Q195" i="8" s="1"/>
  <c r="N195" i="8"/>
  <c r="M196" i="8"/>
  <c r="N196" i="8"/>
  <c r="I196" i="8"/>
  <c r="J196" i="8"/>
  <c r="H315" i="8"/>
  <c r="P316" i="8"/>
  <c r="O315" i="8"/>
  <c r="Q196" i="8" l="1"/>
  <c r="K196" i="8"/>
  <c r="L196" i="8" s="1"/>
  <c r="J197" i="8" s="1"/>
  <c r="O316" i="8"/>
  <c r="H316" i="8"/>
  <c r="P317" i="8"/>
  <c r="N197" i="8" l="1"/>
  <c r="M197" i="8"/>
  <c r="I197" i="8"/>
  <c r="O317" i="8"/>
  <c r="H317" i="8"/>
  <c r="P318" i="8"/>
  <c r="H318" i="8" s="1"/>
  <c r="Q197" i="8" l="1"/>
  <c r="K197" i="8"/>
  <c r="L197" i="8" s="1"/>
  <c r="J198" i="8" s="1"/>
  <c r="O318" i="8"/>
  <c r="O14" i="8" s="1"/>
  <c r="M198" i="8" l="1"/>
  <c r="N198" i="8"/>
  <c r="I198" i="8"/>
  <c r="K198" i="8" s="1"/>
  <c r="L198" i="8" s="1"/>
  <c r="J199" i="8" s="1"/>
  <c r="N199" i="8" l="1"/>
  <c r="M199" i="8"/>
  <c r="I199" i="8"/>
  <c r="K199" i="8" s="1"/>
  <c r="L199" i="8" s="1"/>
  <c r="I200" i="8" s="1"/>
  <c r="Q198" i="8"/>
  <c r="N200" i="8" l="1"/>
  <c r="J200" i="8"/>
  <c r="M200" i="8"/>
  <c r="Q200" i="8" s="1"/>
  <c r="Q199" i="8"/>
  <c r="K200" i="8"/>
  <c r="L200" i="8" s="1"/>
  <c r="I201" i="8" s="1"/>
  <c r="M201" i="8" l="1"/>
  <c r="Q201" i="8" s="1"/>
  <c r="N201" i="8"/>
  <c r="J201" i="8"/>
  <c r="K201" i="8" s="1"/>
  <c r="L201" i="8" s="1"/>
  <c r="N202" i="8" s="1"/>
  <c r="M202" i="8" l="1"/>
  <c r="I202" i="8"/>
  <c r="J202" i="8"/>
  <c r="Q202" i="8" l="1"/>
  <c r="K202" i="8"/>
  <c r="L202" i="8" s="1"/>
  <c r="N203" i="8" l="1"/>
  <c r="J203" i="8"/>
  <c r="I203" i="8"/>
  <c r="K203" i="8" s="1"/>
  <c r="L203" i="8" s="1"/>
  <c r="M204" i="8" s="1"/>
  <c r="M203" i="8"/>
  <c r="Q203" i="8" l="1"/>
  <c r="N204" i="8"/>
  <c r="J204" i="8"/>
  <c r="I204" i="8"/>
  <c r="Q204" i="8" s="1"/>
  <c r="K204" i="8" l="1"/>
  <c r="L204" i="8" s="1"/>
  <c r="M205" i="8" l="1"/>
  <c r="I205" i="8"/>
  <c r="Q205" i="8" s="1"/>
  <c r="N205" i="8"/>
  <c r="J205" i="8"/>
  <c r="K205" i="8" l="1"/>
  <c r="L205" i="8" s="1"/>
  <c r="M206" i="8" s="1"/>
  <c r="N206" i="8" l="1"/>
  <c r="I206" i="8"/>
  <c r="Q206" i="8" s="1"/>
  <c r="J206" i="8"/>
  <c r="K206" i="8" s="1"/>
  <c r="L206" i="8" s="1"/>
  <c r="M207" i="8" s="1"/>
  <c r="J207" i="8" l="1"/>
  <c r="N207" i="8"/>
  <c r="I207" i="8"/>
  <c r="Q207" i="8" s="1"/>
  <c r="K207" i="8" l="1"/>
  <c r="L207" i="8" s="1"/>
  <c r="J208" i="8" s="1"/>
  <c r="N208" i="8"/>
  <c r="I208" i="8" l="1"/>
  <c r="K208" i="8" s="1"/>
  <c r="L208" i="8" s="1"/>
  <c r="J209" i="8" s="1"/>
  <c r="M208" i="8"/>
  <c r="Q208" i="8" s="1"/>
  <c r="I209" i="8"/>
  <c r="M209" i="8"/>
  <c r="N209" i="8"/>
  <c r="K209" i="8" l="1"/>
  <c r="L209" i="8" s="1"/>
  <c r="M210" i="8" s="1"/>
  <c r="Q209" i="8"/>
  <c r="I210" i="8"/>
  <c r="Q210" i="8" s="1"/>
  <c r="N210" i="8"/>
  <c r="J210" i="8" l="1"/>
  <c r="K210" i="8"/>
  <c r="L210" i="8" s="1"/>
  <c r="M211" i="8" s="1"/>
  <c r="N211" i="8"/>
  <c r="I211" i="8" l="1"/>
  <c r="J211" i="8"/>
  <c r="K211" i="8" s="1"/>
  <c r="L211" i="8" s="1"/>
  <c r="Q211" i="8"/>
  <c r="M212" i="8" l="1"/>
  <c r="N212" i="8"/>
  <c r="J212" i="8"/>
  <c r="I212" i="8"/>
  <c r="Q212" i="8" l="1"/>
  <c r="K212" i="8"/>
  <c r="L212" i="8" s="1"/>
  <c r="M213" i="8" l="1"/>
  <c r="J213" i="8"/>
  <c r="I213" i="8"/>
  <c r="Q213" i="8" s="1"/>
  <c r="N213" i="8"/>
  <c r="K213" i="8" l="1"/>
  <c r="L213" i="8" s="1"/>
  <c r="I214" i="8" l="1"/>
  <c r="N214" i="8"/>
  <c r="J214" i="8"/>
  <c r="M214" i="8"/>
  <c r="Q214" i="8" l="1"/>
  <c r="K214" i="8"/>
  <c r="L214" i="8" s="1"/>
  <c r="M215" i="8" l="1"/>
  <c r="J215" i="8"/>
  <c r="I215" i="8"/>
  <c r="N215" i="8"/>
  <c r="Q215" i="8" l="1"/>
  <c r="K215" i="8"/>
  <c r="L215" i="8" s="1"/>
  <c r="M216" i="8" l="1"/>
  <c r="J216" i="8"/>
  <c r="I216" i="8"/>
  <c r="N216" i="8"/>
  <c r="K216" i="8" l="1"/>
  <c r="L216" i="8" s="1"/>
  <c r="Q216" i="8"/>
  <c r="M217" i="8" l="1"/>
  <c r="J217" i="8"/>
  <c r="I217" i="8"/>
  <c r="K217" i="8" s="1"/>
  <c r="L217" i="8" s="1"/>
  <c r="N217" i="8"/>
  <c r="Q217" i="8" l="1"/>
  <c r="N218" i="8"/>
  <c r="I218" i="8"/>
  <c r="M218" i="8"/>
  <c r="J218" i="8"/>
  <c r="K218" i="8" s="1"/>
  <c r="L218" i="8" s="1"/>
  <c r="M219" i="8" s="1"/>
  <c r="J219" i="8" l="1"/>
  <c r="N219" i="8"/>
  <c r="I219" i="8"/>
  <c r="Q219" i="8" s="1"/>
  <c r="Q218" i="8"/>
  <c r="K219" i="8" l="1"/>
  <c r="L219" i="8" s="1"/>
  <c r="M220" i="8" s="1"/>
  <c r="N220" i="8"/>
  <c r="J220" i="8"/>
  <c r="I220" i="8" l="1"/>
  <c r="Q220" i="8" s="1"/>
  <c r="K220" i="8"/>
  <c r="L220" i="8" s="1"/>
  <c r="I221" i="8" l="1"/>
  <c r="N221" i="8"/>
  <c r="M221" i="8"/>
  <c r="J221" i="8"/>
  <c r="K221" i="8" l="1"/>
  <c r="L221" i="8" s="1"/>
  <c r="I222" i="8" s="1"/>
  <c r="Q221" i="8"/>
  <c r="M222" i="8" l="1"/>
  <c r="Q222" i="8" s="1"/>
  <c r="J222" i="8"/>
  <c r="K222" i="8" s="1"/>
  <c r="L222" i="8" s="1"/>
  <c r="M223" i="8" s="1"/>
  <c r="N222" i="8"/>
  <c r="N223" i="8"/>
  <c r="I223" i="8" l="1"/>
  <c r="Q223" i="8" s="1"/>
  <c r="J223" i="8"/>
  <c r="K223" i="8"/>
  <c r="L223" i="8" s="1"/>
  <c r="I224" i="8" l="1"/>
  <c r="N224" i="8"/>
  <c r="M224" i="8"/>
  <c r="J224" i="8"/>
  <c r="K224" i="8" l="1"/>
  <c r="L224" i="8" s="1"/>
  <c r="M225" i="8" s="1"/>
  <c r="Q224" i="8"/>
  <c r="N225" i="8" l="1"/>
  <c r="J225" i="8"/>
  <c r="I225" i="8"/>
  <c r="Q225" i="8" s="1"/>
  <c r="K225" i="8" l="1"/>
  <c r="L225" i="8" s="1"/>
  <c r="I226" i="8" l="1"/>
  <c r="N226" i="8"/>
  <c r="J226" i="8"/>
  <c r="M226" i="8"/>
  <c r="K226" i="8" l="1"/>
  <c r="L226" i="8" s="1"/>
  <c r="M227" i="8" s="1"/>
  <c r="Q226" i="8"/>
  <c r="I227" i="8" l="1"/>
  <c r="Q227" i="8" s="1"/>
  <c r="N227" i="8"/>
  <c r="J227" i="8"/>
  <c r="K227" i="8" s="1"/>
  <c r="L227" i="8" s="1"/>
  <c r="I228" i="8" s="1"/>
  <c r="M228" i="8" l="1"/>
  <c r="N228" i="8"/>
  <c r="J228" i="8"/>
  <c r="K228" i="8" s="1"/>
  <c r="L228" i="8" s="1"/>
  <c r="Q228" i="8"/>
  <c r="J229" i="8" l="1"/>
  <c r="M229" i="8"/>
  <c r="N229" i="8"/>
  <c r="I229" i="8"/>
  <c r="K229" i="8" s="1"/>
  <c r="L229" i="8" s="1"/>
  <c r="Q229" i="8" l="1"/>
  <c r="M230" i="8"/>
  <c r="J230" i="8"/>
  <c r="N230" i="8"/>
  <c r="I230" i="8"/>
  <c r="K230" i="8" s="1"/>
  <c r="L230" i="8" s="1"/>
  <c r="L18" i="11"/>
  <c r="N14" i="8"/>
  <c r="Q230" i="8" l="1"/>
  <c r="J231" i="8"/>
  <c r="M231" i="8"/>
  <c r="I231" i="8"/>
  <c r="K231" i="8" s="1"/>
  <c r="L231" i="8" s="1"/>
  <c r="N231" i="8"/>
  <c r="Q14" i="8"/>
  <c r="Q231" i="8" l="1"/>
  <c r="I232" i="8"/>
  <c r="M232" i="8"/>
  <c r="Q232" i="8" s="1"/>
  <c r="N232" i="8"/>
  <c r="J232" i="8"/>
  <c r="K232" i="8" s="1"/>
  <c r="L232" i="8" s="1"/>
  <c r="M233" i="8" l="1"/>
  <c r="N233" i="8"/>
  <c r="I233" i="8"/>
  <c r="J233" i="8"/>
  <c r="K233" i="8" l="1"/>
  <c r="L233" i="8" s="1"/>
  <c r="Q233" i="8"/>
  <c r="M234" i="8"/>
  <c r="J234" i="8"/>
  <c r="I234" i="8"/>
  <c r="N234" i="8"/>
  <c r="Q234" i="8" l="1"/>
  <c r="K234" i="8"/>
  <c r="L234" i="8" s="1"/>
  <c r="I235" i="8" s="1"/>
  <c r="N235" i="8" l="1"/>
  <c r="J235" i="8"/>
  <c r="M235" i="8"/>
  <c r="Q235" i="8" s="1"/>
  <c r="K235" i="8"/>
  <c r="L235" i="8" s="1"/>
  <c r="J236" i="8" s="1"/>
  <c r="M236" i="8" l="1"/>
  <c r="N236" i="8"/>
  <c r="I236" i="8"/>
  <c r="K236" i="8" s="1"/>
  <c r="L236" i="8" s="1"/>
  <c r="Q236" i="8" l="1"/>
  <c r="M237" i="8"/>
  <c r="N237" i="8"/>
  <c r="J237" i="8"/>
  <c r="I237" i="8"/>
  <c r="Q237" i="8" l="1"/>
  <c r="K237" i="8"/>
  <c r="L237" i="8" s="1"/>
  <c r="M238" i="8" s="1"/>
  <c r="I238" i="8" l="1"/>
  <c r="J238" i="8"/>
  <c r="N238" i="8"/>
  <c r="Q238" i="8"/>
  <c r="K238" i="8"/>
  <c r="L238" i="8" s="1"/>
  <c r="N239" i="8" s="1"/>
  <c r="M239" i="8" l="1"/>
  <c r="J239" i="8"/>
  <c r="I239" i="8"/>
  <c r="K239" i="8" s="1"/>
  <c r="L239" i="8" s="1"/>
  <c r="Q239" i="8" l="1"/>
  <c r="J240" i="8"/>
  <c r="I240" i="8"/>
  <c r="N240" i="8"/>
  <c r="M240" i="8"/>
  <c r="Q240" i="8" s="1"/>
  <c r="K240" i="8" l="1"/>
  <c r="L240" i="8" s="1"/>
  <c r="J241" i="8" s="1"/>
  <c r="M241" i="8"/>
  <c r="I241" i="8" l="1"/>
  <c r="N241" i="8"/>
  <c r="K241" i="8"/>
  <c r="L241" i="8" s="1"/>
  <c r="M242" i="8" s="1"/>
  <c r="Q241" i="8"/>
  <c r="N242" i="8"/>
  <c r="I242" i="8" l="1"/>
  <c r="J242" i="8"/>
  <c r="Q242" i="8"/>
  <c r="K242" i="8"/>
  <c r="L242" i="8" s="1"/>
  <c r="N243" i="8" l="1"/>
  <c r="I243" i="8"/>
  <c r="J243" i="8"/>
  <c r="M243" i="8"/>
  <c r="K243" i="8" l="1"/>
  <c r="L243" i="8" s="1"/>
  <c r="M244" i="8" s="1"/>
  <c r="Q243" i="8"/>
  <c r="I244" i="8" l="1"/>
  <c r="N244" i="8"/>
  <c r="J244" i="8"/>
  <c r="K244" i="8" s="1"/>
  <c r="L244" i="8" s="1"/>
  <c r="I245" i="8" s="1"/>
  <c r="Q244" i="8"/>
  <c r="N245" i="8" l="1"/>
  <c r="J245" i="8"/>
  <c r="K245" i="8" s="1"/>
  <c r="L245" i="8" s="1"/>
  <c r="M245" i="8"/>
  <c r="Q245" i="8" s="1"/>
  <c r="M246" i="8" l="1"/>
  <c r="N246" i="8"/>
  <c r="I246" i="8"/>
  <c r="J246" i="8"/>
  <c r="Q246" i="8" l="1"/>
  <c r="K246" i="8"/>
  <c r="L246" i="8" s="1"/>
  <c r="I247" i="8" l="1"/>
  <c r="M247" i="8"/>
  <c r="N247" i="8"/>
  <c r="J247" i="8"/>
  <c r="K247" i="8" s="1"/>
  <c r="L247" i="8" s="1"/>
  <c r="I248" i="8" l="1"/>
  <c r="N248" i="8"/>
  <c r="M248" i="8"/>
  <c r="J248" i="8"/>
  <c r="K248" i="8" s="1"/>
  <c r="L248" i="8" s="1"/>
  <c r="Q247" i="8"/>
  <c r="J249" i="8" l="1"/>
  <c r="N249" i="8"/>
  <c r="M249" i="8"/>
  <c r="I249" i="8"/>
  <c r="Q248" i="8"/>
  <c r="Q249" i="8" l="1"/>
  <c r="K249" i="8"/>
  <c r="L249" i="8" s="1"/>
  <c r="I250" i="8" l="1"/>
  <c r="M250" i="8"/>
  <c r="N250" i="8"/>
  <c r="J250" i="8"/>
  <c r="K250" i="8" s="1"/>
  <c r="L250" i="8" s="1"/>
  <c r="N251" i="8" l="1"/>
  <c r="J251" i="8"/>
  <c r="I251" i="8"/>
  <c r="M251" i="8"/>
  <c r="Q250" i="8"/>
  <c r="Q251" i="8" l="1"/>
  <c r="K251" i="8"/>
  <c r="L251" i="8" s="1"/>
  <c r="J252" i="8" l="1"/>
  <c r="N252" i="8"/>
  <c r="M252" i="8"/>
  <c r="I252" i="8"/>
  <c r="Q252" i="8" l="1"/>
  <c r="K252" i="8"/>
  <c r="L252" i="8" s="1"/>
  <c r="M253" i="8" l="1"/>
  <c r="N253" i="8"/>
  <c r="J253" i="8"/>
  <c r="I253" i="8"/>
  <c r="Q253" i="8" s="1"/>
  <c r="K253" i="8" l="1"/>
  <c r="L253" i="8" s="1"/>
  <c r="I254" i="8" s="1"/>
  <c r="J254" i="8" l="1"/>
  <c r="K254" i="8" s="1"/>
  <c r="L254" i="8" s="1"/>
  <c r="I255" i="8" s="1"/>
  <c r="N254" i="8"/>
  <c r="M254" i="8"/>
  <c r="Q254" i="8" s="1"/>
  <c r="J255" i="8" l="1"/>
  <c r="M255" i="8"/>
  <c r="Q255" i="8" s="1"/>
  <c r="N255" i="8"/>
  <c r="K255" i="8"/>
  <c r="L255" i="8" s="1"/>
  <c r="J256" i="8" s="1"/>
  <c r="N256" i="8" l="1"/>
  <c r="M256" i="8"/>
  <c r="I256" i="8"/>
  <c r="Q256" i="8" s="1"/>
  <c r="K256" i="8" l="1"/>
  <c r="L256" i="8" s="1"/>
  <c r="M257" i="8" s="1"/>
  <c r="N257" i="8" l="1"/>
  <c r="J257" i="8"/>
  <c r="I257" i="8"/>
  <c r="Q257" i="8" s="1"/>
  <c r="K257" i="8" l="1"/>
  <c r="L257" i="8" s="1"/>
  <c r="M258" i="8" s="1"/>
  <c r="I258" i="8" l="1"/>
  <c r="J258" i="8"/>
  <c r="N258" i="8"/>
  <c r="Q258" i="8"/>
  <c r="K258" i="8"/>
  <c r="L258" i="8" s="1"/>
  <c r="J259" i="8" l="1"/>
  <c r="I259" i="8"/>
  <c r="N259" i="8"/>
  <c r="M259" i="8"/>
  <c r="K259" i="8"/>
  <c r="L259" i="8" s="1"/>
  <c r="M260" i="8" l="1"/>
  <c r="J260" i="8"/>
  <c r="N260" i="8"/>
  <c r="I260" i="8"/>
  <c r="Q259" i="8"/>
  <c r="Q260" i="8" l="1"/>
  <c r="K260" i="8"/>
  <c r="L260" i="8" s="1"/>
  <c r="M261" i="8" s="1"/>
  <c r="I261" i="8" l="1"/>
  <c r="J261" i="8"/>
  <c r="K261" i="8" s="1"/>
  <c r="L261" i="8" s="1"/>
  <c r="M262" i="8" s="1"/>
  <c r="N261" i="8"/>
  <c r="Q261" i="8"/>
  <c r="J262" i="8" l="1"/>
  <c r="N262" i="8"/>
  <c r="I262" i="8"/>
  <c r="Q262" i="8" l="1"/>
  <c r="K262" i="8"/>
  <c r="L262" i="8" s="1"/>
  <c r="N263" i="8" l="1"/>
  <c r="I263" i="8"/>
  <c r="M263" i="8"/>
  <c r="J263" i="8"/>
  <c r="K263" i="8" s="1"/>
  <c r="L263" i="8" s="1"/>
  <c r="M264" i="8" l="1"/>
  <c r="J264" i="8"/>
  <c r="I264" i="8"/>
  <c r="N264" i="8"/>
  <c r="Q263" i="8"/>
  <c r="Q264" i="8" l="1"/>
  <c r="K264" i="8"/>
  <c r="L264" i="8" s="1"/>
  <c r="N265" i="8" l="1"/>
  <c r="J265" i="8"/>
  <c r="I265" i="8"/>
  <c r="M265" i="8"/>
  <c r="K265" i="8" l="1"/>
  <c r="L265" i="8" s="1"/>
  <c r="J266" i="8" s="1"/>
  <c r="Q265" i="8"/>
  <c r="M266" i="8" l="1"/>
  <c r="I266" i="8"/>
  <c r="K266" i="8" s="1"/>
  <c r="L266" i="8" s="1"/>
  <c r="M267" i="8" s="1"/>
  <c r="N266" i="8"/>
  <c r="Q266" i="8" l="1"/>
  <c r="J267" i="8"/>
  <c r="I267" i="8"/>
  <c r="Q267" i="8" s="1"/>
  <c r="N267" i="8"/>
  <c r="K267" i="8"/>
  <c r="L267" i="8" s="1"/>
  <c r="J268" i="8" s="1"/>
  <c r="I268" i="8" l="1"/>
  <c r="M268" i="8"/>
  <c r="N268" i="8"/>
  <c r="K268" i="8"/>
  <c r="L268" i="8" s="1"/>
  <c r="Q268" i="8" l="1"/>
  <c r="I269" i="8"/>
  <c r="J269" i="8"/>
  <c r="N269" i="8"/>
  <c r="M269" i="8"/>
  <c r="K269" i="8" l="1"/>
  <c r="L269" i="8" s="1"/>
  <c r="I270" i="8" s="1"/>
  <c r="Q269" i="8"/>
  <c r="M270" i="8" l="1"/>
  <c r="N270" i="8"/>
  <c r="J270" i="8"/>
  <c r="K270" i="8" s="1"/>
  <c r="L270" i="8" s="1"/>
  <c r="Q270" i="8"/>
  <c r="J271" i="8" l="1"/>
  <c r="N271" i="8"/>
  <c r="I271" i="8"/>
  <c r="K271" i="8" s="1"/>
  <c r="L271" i="8" s="1"/>
  <c r="M271" i="8"/>
  <c r="M272" i="8" l="1"/>
  <c r="I272" i="8"/>
  <c r="Q272" i="8" s="1"/>
  <c r="N272" i="8"/>
  <c r="J272" i="8"/>
  <c r="K272" i="8" s="1"/>
  <c r="L272" i="8" s="1"/>
  <c r="N273" i="8" s="1"/>
  <c r="Q271" i="8"/>
  <c r="J273" i="8" l="1"/>
  <c r="I273" i="8"/>
  <c r="M273" i="8"/>
  <c r="K273" i="8"/>
  <c r="L273" i="8" s="1"/>
  <c r="I274" i="8" s="1"/>
  <c r="Q273" i="8" l="1"/>
  <c r="J274" i="8"/>
  <c r="N274" i="8"/>
  <c r="M274" i="8"/>
  <c r="Q274" i="8" s="1"/>
  <c r="K274" i="8"/>
  <c r="L274" i="8" s="1"/>
  <c r="M275" i="8" s="1"/>
  <c r="J275" i="8" l="1"/>
  <c r="N275" i="8"/>
  <c r="I275" i="8"/>
  <c r="Q275" i="8" s="1"/>
  <c r="K275" i="8" l="1"/>
  <c r="L275" i="8" s="1"/>
  <c r="M276" i="8" s="1"/>
  <c r="I276" i="8" l="1"/>
  <c r="Q276" i="8" s="1"/>
  <c r="J276" i="8"/>
  <c r="K276" i="8" s="1"/>
  <c r="L276" i="8" s="1"/>
  <c r="J277" i="8" s="1"/>
  <c r="N276" i="8"/>
  <c r="I277" i="8" l="1"/>
  <c r="K277" i="8" s="1"/>
  <c r="L277" i="8" s="1"/>
  <c r="M277" i="8"/>
  <c r="Q277" i="8" s="1"/>
  <c r="N277" i="8"/>
  <c r="J278" i="8" l="1"/>
  <c r="I278" i="8"/>
  <c r="N278" i="8"/>
  <c r="M278" i="8"/>
  <c r="Q278" i="8" s="1"/>
  <c r="K278" i="8"/>
  <c r="L278" i="8" s="1"/>
  <c r="M279" i="8" l="1"/>
  <c r="J279" i="8"/>
  <c r="N279" i="8"/>
  <c r="I279" i="8"/>
  <c r="Q279" i="8" s="1"/>
  <c r="K279" i="8" l="1"/>
  <c r="L279" i="8" s="1"/>
  <c r="M280" i="8" l="1"/>
  <c r="N280" i="8"/>
  <c r="I280" i="8"/>
  <c r="J280" i="8"/>
  <c r="Q280" i="8" l="1"/>
  <c r="K280" i="8"/>
  <c r="L280" i="8" s="1"/>
  <c r="M281" i="8" s="1"/>
  <c r="I281" i="8" l="1"/>
  <c r="Q281" i="8" s="1"/>
  <c r="N281" i="8"/>
  <c r="J281" i="8"/>
  <c r="K281" i="8" l="1"/>
  <c r="L281" i="8" s="1"/>
  <c r="M282" i="8" s="1"/>
  <c r="J282" i="8" l="1"/>
  <c r="N282" i="8"/>
  <c r="I282" i="8"/>
  <c r="Q282" i="8" s="1"/>
  <c r="K282" i="8" l="1"/>
  <c r="L282" i="8" s="1"/>
  <c r="M283" i="8" l="1"/>
  <c r="I283" i="8"/>
  <c r="J283" i="8"/>
  <c r="N283" i="8"/>
  <c r="K283" i="8" l="1"/>
  <c r="L283" i="8" s="1"/>
  <c r="Q283" i="8"/>
  <c r="I284" i="8" l="1"/>
  <c r="N284" i="8"/>
  <c r="M284" i="8"/>
  <c r="J284" i="8"/>
  <c r="Q284" i="8" l="1"/>
  <c r="K284" i="8"/>
  <c r="L284" i="8" s="1"/>
  <c r="M285" i="8" l="1"/>
  <c r="J285" i="8"/>
  <c r="N285" i="8"/>
  <c r="I285" i="8"/>
  <c r="K285" i="8" s="1"/>
  <c r="L285" i="8" s="1"/>
  <c r="M286" i="8" s="1"/>
  <c r="I286" i="8" l="1"/>
  <c r="J286" i="8"/>
  <c r="K286" i="8" s="1"/>
  <c r="L286" i="8" s="1"/>
  <c r="N286" i="8"/>
  <c r="Q285" i="8"/>
  <c r="Q286" i="8"/>
  <c r="J287" i="8" l="1"/>
  <c r="N287" i="8"/>
  <c r="I287" i="8"/>
  <c r="M287" i="8"/>
  <c r="K287" i="8" l="1"/>
  <c r="L287" i="8" s="1"/>
  <c r="Q287" i="8"/>
  <c r="M288" i="8" l="1"/>
  <c r="N288" i="8"/>
  <c r="J288" i="8"/>
  <c r="I288" i="8"/>
  <c r="Q288" i="8" l="1"/>
  <c r="K288" i="8"/>
  <c r="L288" i="8" s="1"/>
  <c r="I289" i="8" l="1"/>
  <c r="M289" i="8"/>
  <c r="N289" i="8"/>
  <c r="J289" i="8"/>
  <c r="K289" i="8" l="1"/>
  <c r="L289" i="8" s="1"/>
  <c r="Q289" i="8"/>
  <c r="M290" i="8" l="1"/>
  <c r="J290" i="8"/>
  <c r="N290" i="8"/>
  <c r="I290" i="8"/>
  <c r="Q290" i="8" l="1"/>
  <c r="K290" i="8"/>
  <c r="L290" i="8" s="1"/>
  <c r="J291" i="8" l="1"/>
  <c r="I291" i="8"/>
  <c r="N291" i="8"/>
  <c r="M291" i="8"/>
  <c r="K291" i="8" l="1"/>
  <c r="L291" i="8" s="1"/>
  <c r="Q291" i="8"/>
  <c r="M292" i="8" l="1"/>
  <c r="J292" i="8"/>
  <c r="I292" i="8"/>
  <c r="K292" i="8" s="1"/>
  <c r="L292" i="8" s="1"/>
  <c r="N292" i="8"/>
  <c r="J293" i="8" l="1"/>
  <c r="M293" i="8"/>
  <c r="N293" i="8"/>
  <c r="I293" i="8"/>
  <c r="Q292" i="8"/>
  <c r="K293" i="8" l="1"/>
  <c r="L293" i="8" s="1"/>
  <c r="Q293" i="8"/>
  <c r="N294" i="8" l="1"/>
  <c r="J294" i="8"/>
  <c r="I294" i="8"/>
  <c r="M294" i="8"/>
  <c r="K294" i="8" l="1"/>
  <c r="L294" i="8" s="1"/>
  <c r="Q294" i="8"/>
  <c r="I295" i="8" l="1"/>
  <c r="N295" i="8"/>
  <c r="M295" i="8"/>
  <c r="J295" i="8"/>
  <c r="K295" i="8" s="1"/>
  <c r="L295" i="8" s="1"/>
  <c r="I296" i="8" l="1"/>
  <c r="M296" i="8"/>
  <c r="J296" i="8"/>
  <c r="N296" i="8"/>
  <c r="Q295" i="8"/>
  <c r="K296" i="8" l="1"/>
  <c r="L296" i="8" s="1"/>
  <c r="Q296" i="8"/>
  <c r="M297" i="8" l="1"/>
  <c r="I297" i="8"/>
  <c r="N297" i="8"/>
  <c r="J297" i="8"/>
  <c r="K297" i="8" l="1"/>
  <c r="L297" i="8" s="1"/>
  <c r="N298" i="8" s="1"/>
  <c r="M298" i="8"/>
  <c r="I298" i="8"/>
  <c r="J298" i="8"/>
  <c r="K298" i="8" s="1"/>
  <c r="L298" i="8" s="1"/>
  <c r="Q297" i="8"/>
  <c r="Q298" i="8" l="1"/>
  <c r="M299" i="8"/>
  <c r="N299" i="8"/>
  <c r="J299" i="8"/>
  <c r="I299" i="8"/>
  <c r="Q299" i="8" s="1"/>
  <c r="K299" i="8" l="1"/>
  <c r="L299" i="8" s="1"/>
  <c r="J300" i="8" l="1"/>
  <c r="I300" i="8"/>
  <c r="M300" i="8"/>
  <c r="N300" i="8"/>
  <c r="Q300" i="8" l="1"/>
  <c r="K300" i="8"/>
  <c r="L300" i="8" s="1"/>
  <c r="M301" i="8" s="1"/>
  <c r="I301" i="8" l="1"/>
  <c r="J301" i="8"/>
  <c r="N301" i="8"/>
  <c r="Q301" i="8"/>
  <c r="K301" i="8"/>
  <c r="L301" i="8" l="1"/>
  <c r="M302" i="8" l="1"/>
  <c r="J302" i="8"/>
  <c r="N302" i="8"/>
  <c r="I302" i="8"/>
  <c r="Q302" i="8" s="1"/>
  <c r="K302" i="8" l="1"/>
  <c r="L302" i="8" s="1"/>
  <c r="M303" i="8" l="1"/>
  <c r="J303" i="8"/>
  <c r="I303" i="8"/>
  <c r="N303" i="8"/>
  <c r="Q303" i="8" l="1"/>
  <c r="K303" i="8"/>
  <c r="L303" i="8" s="1"/>
  <c r="M304" i="8" l="1"/>
  <c r="N304" i="8"/>
  <c r="J304" i="8"/>
  <c r="I304" i="8"/>
  <c r="Q304" i="8" l="1"/>
  <c r="K304" i="8"/>
  <c r="L304" i="8" s="1"/>
  <c r="M305" i="8" l="1"/>
  <c r="J305" i="8"/>
  <c r="I305" i="8"/>
  <c r="N305" i="8"/>
  <c r="Q305" i="8" l="1"/>
  <c r="K305" i="8"/>
  <c r="L305" i="8" s="1"/>
  <c r="M306" i="8" l="1"/>
  <c r="N306" i="8"/>
  <c r="I306" i="8"/>
  <c r="Q306" i="8" s="1"/>
  <c r="J306" i="8"/>
  <c r="K306" i="8" l="1"/>
  <c r="L306" i="8" s="1"/>
  <c r="M307" i="8" l="1"/>
  <c r="I307" i="8"/>
  <c r="J307" i="8"/>
  <c r="N307" i="8"/>
  <c r="Q307" i="8" l="1"/>
  <c r="K307" i="8"/>
  <c r="L307" i="8" s="1"/>
  <c r="M308" i="8" l="1"/>
  <c r="N308" i="8"/>
  <c r="I308" i="8"/>
  <c r="J308" i="8"/>
  <c r="K308" i="8" l="1"/>
  <c r="L308" i="8" s="1"/>
  <c r="I309" i="8" s="1"/>
  <c r="Q308" i="8"/>
  <c r="M309" i="8" l="1"/>
  <c r="Q309" i="8" s="1"/>
  <c r="J309" i="8"/>
  <c r="K309" i="8" s="1"/>
  <c r="L309" i="8" s="1"/>
  <c r="I310" i="8" s="1"/>
  <c r="N309" i="8"/>
  <c r="J310" i="8" l="1"/>
  <c r="K310" i="8" s="1"/>
  <c r="L310" i="8" s="1"/>
  <c r="M311" i="8" s="1"/>
  <c r="M310" i="8"/>
  <c r="Q310" i="8" s="1"/>
  <c r="N310" i="8"/>
  <c r="N311" i="8"/>
  <c r="J311" i="8" l="1"/>
  <c r="I311" i="8"/>
  <c r="K311" i="8" s="1"/>
  <c r="L311" i="8" s="1"/>
  <c r="J312" i="8" s="1"/>
  <c r="Q311" i="8" l="1"/>
  <c r="N312" i="8"/>
  <c r="M312" i="8"/>
  <c r="I312" i="8"/>
  <c r="K312" i="8" s="1"/>
  <c r="L312" i="8" s="1"/>
  <c r="Q312" i="8" l="1"/>
  <c r="M313" i="8"/>
  <c r="I313" i="8"/>
  <c r="J313" i="8"/>
  <c r="N313" i="8"/>
  <c r="K313" i="8" l="1"/>
  <c r="L313" i="8" s="1"/>
  <c r="M314" i="8" s="1"/>
  <c r="Q313" i="8"/>
  <c r="I314" i="8" l="1"/>
  <c r="J314" i="8"/>
  <c r="N314" i="8"/>
  <c r="Q314" i="8"/>
  <c r="K314" i="8"/>
  <c r="L314" i="8" s="1"/>
  <c r="M315" i="8" l="1"/>
  <c r="I315" i="8"/>
  <c r="N315" i="8"/>
  <c r="J315" i="8"/>
  <c r="K315" i="8" s="1"/>
  <c r="L315" i="8" s="1"/>
  <c r="M316" i="8" l="1"/>
  <c r="J316" i="8"/>
  <c r="I316" i="8"/>
  <c r="N316" i="8"/>
  <c r="Q315" i="8"/>
  <c r="Q316" i="8" l="1"/>
  <c r="K316" i="8"/>
  <c r="L316" i="8" s="1"/>
  <c r="M317" i="8" l="1"/>
  <c r="I317" i="8"/>
  <c r="N317" i="8"/>
  <c r="J317" i="8"/>
  <c r="K317" i="8" l="1"/>
  <c r="L317" i="8" s="1"/>
  <c r="M318" i="8" s="1"/>
  <c r="Q317" i="8"/>
  <c r="J318" i="8" l="1"/>
  <c r="W7" i="8" s="1"/>
  <c r="L16" i="11" s="1"/>
  <c r="I318" i="8"/>
  <c r="N318" i="8"/>
  <c r="Q318" i="8"/>
  <c r="Q8" i="8"/>
  <c r="W10" i="8" s="1"/>
  <c r="L20" i="11" s="1"/>
  <c r="K318" i="8"/>
  <c r="W8" i="8"/>
  <c r="M14" i="8"/>
  <c r="L17" i="11" s="1"/>
  <c r="W6" i="8" l="1"/>
  <c r="L318" i="8"/>
  <c r="L15" i="11" l="1"/>
  <c r="W9" i="8"/>
  <c r="L19" i="1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<sst xmlns="http://schemas.openxmlformats.org/spreadsheetml/2006/main" count="2208" uniqueCount="417">
  <si>
    <t>Colpatria</t>
  </si>
  <si>
    <t>vida deudor</t>
  </si>
  <si>
    <t>Cuota</t>
  </si>
  <si>
    <t>interes</t>
  </si>
  <si>
    <t>capital</t>
  </si>
  <si>
    <t>Saldo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</si>
  <si>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</si>
  <si>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</si>
  <si>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</si>
  <si>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</si>
  <si>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</si>
  <si>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</si>
  <si>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</si>
  <si>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</si>
  <si>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</si>
  <si>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</si>
  <si>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</si>
  <si>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</si>
  <si>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Mes 13</t>
  </si>
  <si>
    <t>Mes 14</t>
  </si>
  <si>
    <t>Mes 15</t>
  </si>
  <si>
    <t>Mes 16</t>
  </si>
  <si>
    <t>Mes 17</t>
  </si>
  <si>
    <t>Mes 18</t>
  </si>
  <si>
    <t>Mes 19</t>
  </si>
  <si>
    <t>Mes 20</t>
  </si>
  <si>
    <t>Mes 21</t>
  </si>
  <si>
    <t>Mes 22</t>
  </si>
  <si>
    <t>Mes 23</t>
  </si>
  <si>
    <t>Mes 24</t>
  </si>
  <si>
    <t>Mes 25</t>
  </si>
  <si>
    <t>Mes 26</t>
  </si>
  <si>
    <t>Mes 27</t>
  </si>
  <si>
    <t>Mes 28</t>
  </si>
  <si>
    <t>Mes 29</t>
  </si>
  <si>
    <t>Mes 30</t>
  </si>
  <si>
    <t>Mes 31</t>
  </si>
  <si>
    <t>Mes 32</t>
  </si>
  <si>
    <t>Mes 33</t>
  </si>
  <si>
    <t>Mes 34</t>
  </si>
  <si>
    <t>Mes 35</t>
  </si>
  <si>
    <t>Mes 36</t>
  </si>
  <si>
    <t>Mes 37</t>
  </si>
  <si>
    <t>Mes 38</t>
  </si>
  <si>
    <t>Mes 39</t>
  </si>
  <si>
    <t>Mes 40</t>
  </si>
  <si>
    <t>Mes 41</t>
  </si>
  <si>
    <t>Mes 42</t>
  </si>
  <si>
    <t>Mes 43</t>
  </si>
  <si>
    <t>Mes 44</t>
  </si>
  <si>
    <t>Mes 45</t>
  </si>
  <si>
    <t>Mes 46</t>
  </si>
  <si>
    <t>Mes 47</t>
  </si>
  <si>
    <t>Mes 48</t>
  </si>
  <si>
    <t>Mes 49</t>
  </si>
  <si>
    <t>Mes 50</t>
  </si>
  <si>
    <t>Mes 51</t>
  </si>
  <si>
    <t>Mes 52</t>
  </si>
  <si>
    <t>Mes 53</t>
  </si>
  <si>
    <t>Mes 54</t>
  </si>
  <si>
    <t>Mes 55</t>
  </si>
  <si>
    <t>Mes 56</t>
  </si>
  <si>
    <t>Mes 57</t>
  </si>
  <si>
    <t>Mes 58</t>
  </si>
  <si>
    <t>Mes 59</t>
  </si>
  <si>
    <t>Mes 60</t>
  </si>
  <si>
    <t>Mes 61</t>
  </si>
  <si>
    <t>Mes 62</t>
  </si>
  <si>
    <t>Mes 63</t>
  </si>
  <si>
    <t>Mes 64</t>
  </si>
  <si>
    <t>Mes 65</t>
  </si>
  <si>
    <t>Mes 66</t>
  </si>
  <si>
    <t>Mes 67</t>
  </si>
  <si>
    <t>Mes 68</t>
  </si>
  <si>
    <t>Mes 69</t>
  </si>
  <si>
    <t>Mes 70</t>
  </si>
  <si>
    <t>Mes 71</t>
  </si>
  <si>
    <t>Mes 72</t>
  </si>
  <si>
    <t>Mes 73</t>
  </si>
  <si>
    <t>Mes 74</t>
  </si>
  <si>
    <t>Mes 75</t>
  </si>
  <si>
    <t>Mes 76</t>
  </si>
  <si>
    <t>Mes 77</t>
  </si>
  <si>
    <t>Mes 78</t>
  </si>
  <si>
    <t>Mes 79</t>
  </si>
  <si>
    <t>Mes 80</t>
  </si>
  <si>
    <t>Mes 81</t>
  </si>
  <si>
    <t>Mes 82</t>
  </si>
  <si>
    <t>Mes 83</t>
  </si>
  <si>
    <t>Mes 84</t>
  </si>
  <si>
    <t>Desembolso</t>
  </si>
  <si>
    <t>Plazo</t>
  </si>
  <si>
    <t>Tasa</t>
  </si>
  <si>
    <t>Tasa EA</t>
  </si>
  <si>
    <t>X Millón</t>
  </si>
  <si>
    <t>Seguro</t>
  </si>
  <si>
    <t>Flujo</t>
  </si>
  <si>
    <t>TIR</t>
  </si>
  <si>
    <t>VTU</t>
  </si>
  <si>
    <t>Seg + Interes</t>
  </si>
  <si>
    <t>Salario Minimo</t>
  </si>
  <si>
    <t>Cupo</t>
  </si>
  <si>
    <t>Usos</t>
  </si>
  <si>
    <t>Diferido</t>
  </si>
  <si>
    <t>Mes 0</t>
  </si>
  <si>
    <t>Capital</t>
  </si>
  <si>
    <t>USOS</t>
  </si>
  <si>
    <t>Cuota Manejo</t>
  </si>
  <si>
    <t>ABONO</t>
  </si>
  <si>
    <t>Intereses pagados por clientes (Corrientes + mora)+ seguros + otros / Saldo promedio capital de la deuda      y se debe convertir a efectivo anual</t>
  </si>
  <si>
    <t>Mes 85</t>
  </si>
  <si>
    <t>Mes 86</t>
  </si>
  <si>
    <t>Mes 87</t>
  </si>
  <si>
    <t>Mes 88</t>
  </si>
  <si>
    <t>Mes 89</t>
  </si>
  <si>
    <t>Mes 90</t>
  </si>
  <si>
    <t>Mes 91</t>
  </si>
  <si>
    <t>Mes 92</t>
  </si>
  <si>
    <t>Mes 93</t>
  </si>
  <si>
    <t>Mes 94</t>
  </si>
  <si>
    <t>Mes 95</t>
  </si>
  <si>
    <t>Mes 96</t>
  </si>
  <si>
    <t>Mes 97</t>
  </si>
  <si>
    <t>Mes 98</t>
  </si>
  <si>
    <t>Mes 99</t>
  </si>
  <si>
    <t>Mes 100</t>
  </si>
  <si>
    <t>Mes 101</t>
  </si>
  <si>
    <t>Mes 102</t>
  </si>
  <si>
    <t>Mes 103</t>
  </si>
  <si>
    <t>Mes 104</t>
  </si>
  <si>
    <t>Mes 105</t>
  </si>
  <si>
    <t>Mes 106</t>
  </si>
  <si>
    <t>Mes 107</t>
  </si>
  <si>
    <t>Mes 108</t>
  </si>
  <si>
    <t>Mes 109</t>
  </si>
  <si>
    <t>Mes 110</t>
  </si>
  <si>
    <t>Mes 111</t>
  </si>
  <si>
    <t>Mes 112</t>
  </si>
  <si>
    <t>Mes 113</t>
  </si>
  <si>
    <t>Mes 114</t>
  </si>
  <si>
    <t>Mes 115</t>
  </si>
  <si>
    <t>Mes 116</t>
  </si>
  <si>
    <t>Mes 117</t>
  </si>
  <si>
    <t>Mes 118</t>
  </si>
  <si>
    <t>Mes 119</t>
  </si>
  <si>
    <t>Mes 120</t>
  </si>
  <si>
    <t>Mes 121</t>
  </si>
  <si>
    <t>Mes 122</t>
  </si>
  <si>
    <t>Mes 123</t>
  </si>
  <si>
    <t>Mes 124</t>
  </si>
  <si>
    <t>Mes 125</t>
  </si>
  <si>
    <t>Mes 126</t>
  </si>
  <si>
    <t>Mes 127</t>
  </si>
  <si>
    <t>Mes 128</t>
  </si>
  <si>
    <t>Mes 129</t>
  </si>
  <si>
    <t>Mes 130</t>
  </si>
  <si>
    <t>Mes 131</t>
  </si>
  <si>
    <t>Mes 132</t>
  </si>
  <si>
    <t>Mes 133</t>
  </si>
  <si>
    <t>Mes 134</t>
  </si>
  <si>
    <t>Mes 135</t>
  </si>
  <si>
    <t>Mes 136</t>
  </si>
  <si>
    <t>Mes 137</t>
  </si>
  <si>
    <t>Mes 138</t>
  </si>
  <si>
    <t>Mes 139</t>
  </si>
  <si>
    <t>Mes 140</t>
  </si>
  <si>
    <t>Mes 141</t>
  </si>
  <si>
    <t>Mes 142</t>
  </si>
  <si>
    <t>Mes 143</t>
  </si>
  <si>
    <t>Mes 144</t>
  </si>
  <si>
    <t>Mes 145</t>
  </si>
  <si>
    <t>Mes 146</t>
  </si>
  <si>
    <t>Mes 147</t>
  </si>
  <si>
    <t>Mes 148</t>
  </si>
  <si>
    <t>Mes 149</t>
  </si>
  <si>
    <t>Mes 150</t>
  </si>
  <si>
    <t>Mes 151</t>
  </si>
  <si>
    <t>Mes 152</t>
  </si>
  <si>
    <t>Mes 153</t>
  </si>
  <si>
    <t>Mes 154</t>
  </si>
  <si>
    <t>Mes 155</t>
  </si>
  <si>
    <t>Mes 156</t>
  </si>
  <si>
    <t>Mes 157</t>
  </si>
  <si>
    <t>Mes 158</t>
  </si>
  <si>
    <t>Mes 159</t>
  </si>
  <si>
    <t>Mes 160</t>
  </si>
  <si>
    <t>Mes 161</t>
  </si>
  <si>
    <t>Mes 162</t>
  </si>
  <si>
    <t>Mes 163</t>
  </si>
  <si>
    <t>Mes 164</t>
  </si>
  <si>
    <t>Mes 165</t>
  </si>
  <si>
    <t>Mes 166</t>
  </si>
  <si>
    <t>Mes 167</t>
  </si>
  <si>
    <t>Mes 168</t>
  </si>
  <si>
    <t>Mes 169</t>
  </si>
  <si>
    <t>Mes 170</t>
  </si>
  <si>
    <t>Mes 171</t>
  </si>
  <si>
    <t>Mes 172</t>
  </si>
  <si>
    <t>Mes 173</t>
  </si>
  <si>
    <t>Mes 174</t>
  </si>
  <si>
    <t>Mes 175</t>
  </si>
  <si>
    <t>Mes 176</t>
  </si>
  <si>
    <t>Mes 177</t>
  </si>
  <si>
    <t>Mes 178</t>
  </si>
  <si>
    <t>Mes 179</t>
  </si>
  <si>
    <t>Mes 180</t>
  </si>
  <si>
    <t>Seguro vida</t>
  </si>
  <si>
    <t>Edad</t>
  </si>
  <si>
    <t>Tarifa Incendio y terremoto</t>
  </si>
  <si>
    <t>Seguro de vida</t>
  </si>
  <si>
    <t>Fecha Nacimiento</t>
  </si>
  <si>
    <t>Formula edad</t>
  </si>
  <si>
    <t>Mes 181</t>
  </si>
  <si>
    <t>Mes 182</t>
  </si>
  <si>
    <t>Mes 183</t>
  </si>
  <si>
    <t>Mes 184</t>
  </si>
  <si>
    <t>Mes 185</t>
  </si>
  <si>
    <t>Mes 186</t>
  </si>
  <si>
    <t>Mes 187</t>
  </si>
  <si>
    <t>Mes 188</t>
  </si>
  <si>
    <t>Mes 189</t>
  </si>
  <si>
    <t>Mes 190</t>
  </si>
  <si>
    <t>Mes 191</t>
  </si>
  <si>
    <t>Mes 192</t>
  </si>
  <si>
    <t>Mes 193</t>
  </si>
  <si>
    <t>Mes 194</t>
  </si>
  <si>
    <t>Mes 195</t>
  </si>
  <si>
    <t>Mes 196</t>
  </si>
  <si>
    <t>Mes 197</t>
  </si>
  <si>
    <t>Mes 198</t>
  </si>
  <si>
    <t>Mes 199</t>
  </si>
  <si>
    <t>Mes 200</t>
  </si>
  <si>
    <t>Mes 201</t>
  </si>
  <si>
    <t>Mes 202</t>
  </si>
  <si>
    <t>Mes 203</t>
  </si>
  <si>
    <t>Mes 204</t>
  </si>
  <si>
    <t>Mes 205</t>
  </si>
  <si>
    <t>Mes 206</t>
  </si>
  <si>
    <t>Mes 207</t>
  </si>
  <si>
    <t>Mes 208</t>
  </si>
  <si>
    <t>Mes 209</t>
  </si>
  <si>
    <t>Mes 210</t>
  </si>
  <si>
    <t>Mes 211</t>
  </si>
  <si>
    <t>Mes 212</t>
  </si>
  <si>
    <t>Mes 213</t>
  </si>
  <si>
    <t>Mes 214</t>
  </si>
  <si>
    <t>Mes 215</t>
  </si>
  <si>
    <t>Mes 216</t>
  </si>
  <si>
    <t>Mes 217</t>
  </si>
  <si>
    <t>Mes 218</t>
  </si>
  <si>
    <t>Mes 219</t>
  </si>
  <si>
    <t>Mes 220</t>
  </si>
  <si>
    <t>Mes 221</t>
  </si>
  <si>
    <t>Mes 222</t>
  </si>
  <si>
    <t>Mes 223</t>
  </si>
  <si>
    <t>Mes 224</t>
  </si>
  <si>
    <t>Mes 225</t>
  </si>
  <si>
    <t>Mes 226</t>
  </si>
  <si>
    <t>Mes 227</t>
  </si>
  <si>
    <t>Mes 228</t>
  </si>
  <si>
    <t>Mes 229</t>
  </si>
  <si>
    <t>Mes 230</t>
  </si>
  <si>
    <t>Mes 231</t>
  </si>
  <si>
    <t>Mes 232</t>
  </si>
  <si>
    <t>Mes 233</t>
  </si>
  <si>
    <t>Mes 234</t>
  </si>
  <si>
    <t>Mes 235</t>
  </si>
  <si>
    <t>Mes 236</t>
  </si>
  <si>
    <t>Mes 237</t>
  </si>
  <si>
    <t>Mes 238</t>
  </si>
  <si>
    <t>Mes 239</t>
  </si>
  <si>
    <t>Mes 240</t>
  </si>
  <si>
    <t>Valor del Inmueble</t>
  </si>
  <si>
    <t>Tasa M.V</t>
  </si>
  <si>
    <t>Tasa E.A</t>
  </si>
  <si>
    <t>Fecha cálculo</t>
  </si>
  <si>
    <t>Interes</t>
  </si>
  <si>
    <t>Seguros</t>
  </si>
  <si>
    <t>VTU TOTAL EN PESOS</t>
  </si>
  <si>
    <t>Intereses</t>
  </si>
  <si>
    <t>Seguro Incendio y terremoto</t>
  </si>
  <si>
    <t>Cuota sin seguros</t>
  </si>
  <si>
    <t>RESULTADO VTU</t>
  </si>
  <si>
    <t>DATOS DE CALCULO</t>
  </si>
  <si>
    <t>DATOS DE SOLICITUD</t>
  </si>
  <si>
    <t>Fecha Nacimiento (DD/MM/AAAA)</t>
  </si>
  <si>
    <t>Plazo en meses</t>
  </si>
  <si>
    <t>Años</t>
  </si>
  <si>
    <t>Seguro Incendio y Terremoto</t>
  </si>
  <si>
    <t>SI</t>
  </si>
  <si>
    <t>Seguro de vida incluido</t>
  </si>
  <si>
    <t>Digite el valor del préstamo</t>
  </si>
  <si>
    <t>Ingrese el valor del Inmueble</t>
  </si>
  <si>
    <t>Valor Cuota sin seguros</t>
  </si>
  <si>
    <t xml:space="preserve">   </t>
  </si>
  <si>
    <t>N°</t>
  </si>
  <si>
    <t>Simulador Crédito Hipotecario</t>
  </si>
  <si>
    <t xml:space="preserve">Interés </t>
  </si>
  <si>
    <t xml:space="preserve">CALCULO VALOR TOTAL UNIFICADO (VTU) HIPOTECARIO EN PESOS </t>
  </si>
  <si>
    <t>Valor Primer Cuota Con seguros</t>
  </si>
  <si>
    <t>VTU EN PORCENTAJE (E.A)</t>
  </si>
  <si>
    <t>Incendio y terremoto</t>
  </si>
  <si>
    <t>Destino</t>
  </si>
  <si>
    <t>Libre Inversión</t>
  </si>
  <si>
    <t>Seleccione el destino del Inmueble</t>
  </si>
  <si>
    <t>Monto Prestamo</t>
  </si>
  <si>
    <t>Comercial</t>
  </si>
  <si>
    <t>Conoce nuestras líneas de Crédito Hipotecario en: https://www.scotiabankcolpatria.com/personas/hipotecario</t>
  </si>
  <si>
    <t>Tarifa Vida deudor</t>
  </si>
  <si>
    <t>Tarifa fija</t>
  </si>
  <si>
    <t>Tarifa en relación a la edad</t>
  </si>
  <si>
    <t>ACTIVIDAD ECONOMICA</t>
  </si>
  <si>
    <t>LINEA DE CREDITO</t>
  </si>
  <si>
    <t>VIS / NO VIS</t>
  </si>
  <si>
    <t>SISTEMA AMORTIZACION</t>
  </si>
  <si>
    <t>VALOR DEL INMUEBLE</t>
  </si>
  <si>
    <t>TASA PUBLI</t>
  </si>
  <si>
    <t>TASA + CTA</t>
  </si>
  <si>
    <t>PRINCIPAL</t>
  </si>
  <si>
    <t>ET&amp;A</t>
  </si>
  <si>
    <t>ASALARIADO</t>
  </si>
  <si>
    <t>GxD NUEVO</t>
  </si>
  <si>
    <t>VIS</t>
  </si>
  <si>
    <t>PESOS</t>
  </si>
  <si>
    <t>&lt;300</t>
  </si>
  <si>
    <t>GxD USADO</t>
  </si>
  <si>
    <t>REMODELACION</t>
  </si>
  <si>
    <t>COMPRA CARTERA</t>
  </si>
  <si>
    <t>ERROR</t>
  </si>
  <si>
    <t>HIPOTECARIO COMERCIAL</t>
  </si>
  <si>
    <t>LIBRE DESTINO</t>
  </si>
  <si>
    <t>CxI</t>
  </si>
  <si>
    <t>LEASING HABITACIONAL</t>
  </si>
  <si>
    <t>&gt;=300</t>
  </si>
  <si>
    <t>PENSIONADO</t>
  </si>
  <si>
    <t>INDEPENDIENTE</t>
  </si>
  <si>
    <t>UVR</t>
  </si>
  <si>
    <t>NO VIS</t>
  </si>
  <si>
    <t>HIPOTECARIO</t>
  </si>
  <si>
    <t>La siguiente es la tabla de tasas aprobadas para el mes de mayo 2024</t>
  </si>
  <si>
    <t>HIPOTECARIO VIS - ADQUISICIÓN</t>
  </si>
  <si>
    <t>VIGENCIA</t>
  </si>
  <si>
    <t>Pricing</t>
  </si>
  <si>
    <t>CREDITO HIPOTECARIO  VIVIENDA  EN UVR CON VALOR COMERCIAL HASTA 150 SMLV (VIS)**</t>
  </si>
  <si>
    <t xml:space="preserve">VIS </t>
  </si>
  <si>
    <t>1er Solicitante ASALARIADO O PENSIONADO</t>
  </si>
  <si>
    <t>UVR + 9.59%</t>
  </si>
  <si>
    <t>Vigente</t>
  </si>
  <si>
    <t>P207</t>
  </si>
  <si>
    <t>1er Solicitante INDEPENDIENTE</t>
  </si>
  <si>
    <t>HIPOTECARIO VIS - REMODELACIÓN</t>
  </si>
  <si>
    <t>HIPOTECARIO NO VIS - ADQUISICIÓN Y/O REMODELACIÓN</t>
  </si>
  <si>
    <t>CREDITO HIPOTECARIO VIVIENDA EN UVR PARA INMUEBLES NO VIS Y MONTO DEL CREDITO MENOR A $300 MM</t>
  </si>
  <si>
    <t>NO VIS (UVR)</t>
  </si>
  <si>
    <t>UVR + 11.94%</t>
  </si>
  <si>
    <t>UVR + 12.34%</t>
  </si>
  <si>
    <t>CREDITO HIPOTECARIO VIVIENDA EN UVR PARA INMUEBLES NO VIS Y MONTODEL CREDITO MAYOR O IGUAL A $300MM</t>
  </si>
  <si>
    <t>CREDITO HIPOTECARIO VIVIENDA EN UVR PARA INMUEBLES NO VIS Y MONTO DEL CREDITO MAYOR O IGUAL  A $500 MM</t>
  </si>
  <si>
    <t>% Financiación inferior o igual al 50% (5 a 20 años)</t>
  </si>
  <si>
    <t>UVR + 9.53%</t>
  </si>
  <si>
    <t>P125</t>
  </si>
  <si>
    <t>% Financiación superior al 50% (5 a 20 años)</t>
  </si>
  <si>
    <t>UVR + 10.13%</t>
  </si>
  <si>
    <t>HIPOTECARIO VIVIENDA EN PESOS FINANCIACIÓN  DE VALOR COMERCIAL HASTA 150 SMLV (VIS)**</t>
  </si>
  <si>
    <t>TASA MV</t>
  </si>
  <si>
    <t>TASA EA</t>
  </si>
  <si>
    <t xml:space="preserve">HIPOTECARIO VIS - REMODELACIÓN </t>
  </si>
  <si>
    <t>CREDITO HIPOTECARIO VIVIENDA EN PESOS PARA INMUEBLES NO VIS Y MONTO DEL CREDITO MENOR A $300 MM</t>
  </si>
  <si>
    <t>CREDITO HIPOTECARIO VIVIENDA EN PESOSPARA INMUEBLES NO VIS Y MONTODEL CREDITO MAYOR O IGUAL A $300MM</t>
  </si>
  <si>
    <t>CREDITO HIPOTECARIO VIVIENDA EN PESOS PARA INMUEBLES NO VIS Y MONTO DEL CREDITO MAYOR O IGUAL  A $500 MM</t>
  </si>
  <si>
    <t>P199</t>
  </si>
  <si>
    <t>LIBRE INVERSIÓN</t>
  </si>
  <si>
    <t>CREDITO HIPOTECARIO  LIBRE INVERSION (COMERCIAL)  EN PESOS PARA INMUEBLES (NO VIS) PARA MONTO DEL CREDITO MENOR A $300MM</t>
  </si>
  <si>
    <t>CREDITO HIPOTECARIO  LIBRE INVERSION (COMERCIAL)  EN PESOS PARA INMUEBLES (NO VIS) PARA MONTO DEL CREDITO MAYOR O IGUAL  A $300MM</t>
  </si>
  <si>
    <t>HIPOTECARIO*</t>
  </si>
  <si>
    <t xml:space="preserve">OFICINAS / LOCALES COMERCIALES / BODEGAS  EN UVR  CON VALOR COMERCIAL  Y MONTO DEL CREDITO MENOR A $300MM </t>
  </si>
  <si>
    <t>UVR + 10.10%</t>
  </si>
  <si>
    <t>P012</t>
  </si>
  <si>
    <t>OFICINAS / LOCALES COMERCIALES / BODEGAS  EN UVR  Y MONTO DEL CREDITO MAYOR O IGUAL  A $300MM</t>
  </si>
  <si>
    <t>UVR + 9.80%</t>
  </si>
  <si>
    <t xml:space="preserve">OFICINAS / LOCALES COMERCIALES / BODEGAS / LEASING INMOBILIARIO EN PESOS  Y MONTO DEL CREDITO MENOR A $300MM </t>
  </si>
  <si>
    <t>OFICINAS / LOCALES COMERCIALES / BODEGAS / LEASING INMOBILIARIO EN PESOS  Y MONTO DEL CREDITO MAYOR O IGUAL  A $300MM</t>
  </si>
  <si>
    <t>LEASING HABITACIONAL PARA CREDITOS CON MONTO MENOR A $300MM</t>
  </si>
  <si>
    <t>LEASING HABITACIONAL PARA CREDITOS CON MONTO MAYOR O IGUAL A $300MM</t>
  </si>
  <si>
    <t>LEASING HABITACIONAL PARA CREDITOS CON MONTO MAYOR O IGUAL A $500MM</t>
  </si>
  <si>
    <t>% Financiación inferior al 50% (5 a 20 años)</t>
  </si>
  <si>
    <t>% Financiación igual o superior al 50% (5 a 20 años)</t>
  </si>
  <si>
    <t>Ofertas Especiales</t>
  </si>
  <si>
    <t>CREDITO HIPOTECARIO  VIVIENDA NO VIS</t>
  </si>
  <si>
    <t>Compra Cartera para clientes para créditos UVR*</t>
  </si>
  <si>
    <t>Compra Cartera para clientes para créditos PESOS*</t>
  </si>
  <si>
    <t>Compra Cartera para clientes  para créditos con LTV &gt;50% UVR*</t>
  </si>
  <si>
    <t>UVR + 10.15%</t>
  </si>
  <si>
    <t>Compra Cartera para clientes  para créditos con LTV &gt;50% PESOS*</t>
  </si>
  <si>
    <t>*Aplica para montos de crédito &lt; 500 mm</t>
  </si>
  <si>
    <t>VARIOS</t>
  </si>
  <si>
    <t>CXI donde el constructor tenga el crédito con Colpatria UVR Hipotecario Vivienda NO VIS o créditos GXD de Constructora Colpatria</t>
  </si>
  <si>
    <t>CXI donde el constructor tenga el créditos con Colpatria PESOS Hipotecario Vivienda NO VIS o créditos GXD de Constructora Colpatria</t>
  </si>
  <si>
    <t>CXI donde el constructor tenga el créditos con Colpatria UVR Hipotecario Vivienda VIS o créditos GXD de Constructora Colpatria</t>
  </si>
  <si>
    <t>CXI donde el constructor tenga el créditos con Colpatria PESOS Hipotecario Vivienda VIS o créditos GXD de Constructora Colpatria</t>
  </si>
  <si>
    <t>CXI leasing: donde el constructor tenga el crédito con Colpatria o para créditos GXD leasing de Constructora Colpatria</t>
  </si>
  <si>
    <t>Vivienda VIS</t>
  </si>
  <si>
    <t>Vivienda NO VIS</t>
  </si>
  <si>
    <t>Perfil</t>
  </si>
  <si>
    <t>Asalariado</t>
  </si>
  <si>
    <t>Independiente</t>
  </si>
  <si>
    <t>Pensionado</t>
  </si>
  <si>
    <r>
      <t>Monto máximo del préstamo</t>
    </r>
    <r>
      <rPr>
        <vertAlign val="superscript"/>
        <sz val="10"/>
        <color rgb="FF000000"/>
        <rFont val="Scotia"/>
        <family val="2"/>
      </rPr>
      <t>1</t>
    </r>
  </si>
  <si>
    <r>
      <t>Seleccione el plazo en años</t>
    </r>
    <r>
      <rPr>
        <vertAlign val="superscript"/>
        <sz val="10"/>
        <color rgb="FF000000"/>
        <rFont val="Scotia"/>
        <family val="2"/>
      </rPr>
      <t>2</t>
    </r>
  </si>
  <si>
    <r>
      <rPr>
        <b/>
        <i/>
        <vertAlign val="superscript"/>
        <sz val="10"/>
        <color theme="1"/>
        <rFont val="Scotia"/>
        <family val="2"/>
      </rPr>
      <t xml:space="preserve">1 </t>
    </r>
    <r>
      <rPr>
        <i/>
        <sz val="10"/>
        <color theme="1"/>
        <rFont val="Scotia"/>
        <family val="2"/>
      </rPr>
      <t xml:space="preserve">El porcentaje máximo de financiación para crédito Hipotecario compra de vivienda es hasta el 70% del valor del inmueble para vivienda NO VIS*, para Vivienda VIS* será hasta el 80%, libre inversión con garantía hipotecaria hasta 70% y líneas comerciales (locales, consultorios, bodegas y oficinas) hasta 50%. </t>
    </r>
  </si>
  <si>
    <r>
      <t>3</t>
    </r>
    <r>
      <rPr>
        <i/>
        <sz val="10"/>
        <color theme="1"/>
        <rFont val="Scotia"/>
        <family val="2"/>
      </rPr>
      <t xml:space="preserve"> Consulta las tasas de interés en https://www.scotiabankcolpatria.com/tasas-y-tarifas</t>
    </r>
  </si>
  <si>
    <r>
      <t>*</t>
    </r>
    <r>
      <rPr>
        <i/>
        <sz val="10"/>
        <color theme="1"/>
        <rFont val="Scotia"/>
        <family val="2"/>
      </rPr>
      <t xml:space="preserve"> VIS: (Vivienda De Interés Social) toda vivienda cuyo valor se encuentra dentro de las disposiciones del Decreto 1467 de 2019, de acuerdo a la Ciudad donde esta ubicado el inmueble. </t>
    </r>
  </si>
  <si>
    <t>Línea</t>
  </si>
  <si>
    <t>NO</t>
  </si>
  <si>
    <r>
      <rPr>
        <b/>
        <i/>
        <vertAlign val="superscript"/>
        <sz val="10"/>
        <color theme="1"/>
        <rFont val="Scotia"/>
        <family val="2"/>
      </rPr>
      <t>2</t>
    </r>
    <r>
      <rPr>
        <i/>
        <sz val="10"/>
        <color theme="1"/>
        <rFont val="Scotia"/>
        <family val="2"/>
      </rPr>
      <t xml:space="preserve"> El plazo máximo para crédito hipotecario vivienda es hasta 25 años para perfiles Asalariado y Pensionado y hasta 20 años para Independientes , remodelación y libre inversión con garantía hipotecaria hasta 15 años y líneas comerciales (locales, consultorios, bodegas y oficinas) hasta 10 años. </t>
    </r>
  </si>
  <si>
    <r>
      <rPr>
        <b/>
        <sz val="10"/>
        <rFont val="Scotia"/>
        <family val="2"/>
      </rPr>
      <t xml:space="preserve">                                                                                                                                                         VALOR TOTAL UNIFICADO </t>
    </r>
    <r>
      <rPr>
        <b/>
        <u/>
        <sz val="10"/>
        <rFont val="Scotia"/>
        <family val="2"/>
      </rPr>
      <t xml:space="preserve">
*</t>
    </r>
    <r>
      <rPr>
        <b/>
        <u/>
        <sz val="10"/>
        <color theme="1"/>
        <rFont val="Scotia"/>
        <family val="2"/>
      </rPr>
      <t xml:space="preserve"> QUÉ ES EL VTU? </t>
    </r>
    <r>
      <rPr>
        <sz val="10"/>
        <color theme="1"/>
        <rFont val="Scotia"/>
        <family val="2"/>
      </rPr>
      <t>Significa “Valor Total Unificado” y es la medida que le permite al consumidor financiero potencial comparar las ofertas de las diferentes entidades financieras de forma homogénea. Consulta mayor información en https://www.scotiabankcolpatria.com/personas/servicios/otros-servicios/valor-total-unificado</t>
    </r>
    <r>
      <rPr>
        <b/>
        <sz val="10"/>
        <rFont val="Scotia"/>
        <family val="2"/>
      </rPr>
      <t xml:space="preserve">
* ¿PARA QUÉ SIRVE? </t>
    </r>
    <r>
      <rPr>
        <sz val="10"/>
        <color theme="1"/>
        <rFont val="Scotia"/>
        <family val="2"/>
      </rPr>
      <t xml:space="preserve">Para que las entidades financieras brinden a los consumidores información previa a la celebración del contrato, respecto a las características de sus productos o servicios, sus derechos y obligaciones, condiciones, tarifas o precios y la forma para determinarlos, así como de forma posterior a la celebración del contrato los montos efectivamente pagados por éstos.
* La proyección obtenida corresponde a una simulación de los cobros inherentes  o asociados directamente a la operación y no necesariamente a los montos que efectivamente pagará el cliente
* El otorgamiento del crédito está sujeto a políticas de crédito de Banco Scotiabank Colpatria. 
* El VTU del crédito hipotecario Scotiabank Colpatria incluye los intereses, el seguro de vida y el seguro de incendio y terremoto
*Podrán existir otros costos que deberá asumir el cliente y los cuales no hacen parte del cálculo del VTU tales como gastos de escrituración, registro o impuestos asociados a la hipoteca, avalúo, estudio de títulos, pago de certificados de tradición y libertad, pago de escrituras, etc.
*El plazo y la tasa de interés serán los que efectivamente el Banco apruebe conforme a sus políticas. 
* Los valores finales correspondientes a seguros de vida y todo riesgo incendio y terremoto se calculan conforme a las condiciones de la póliza colectiva vigente tomada por Banco Scotiabank Colpatria por cuenta de sus deudores. El valor de la prima podrá variar acorde al estado del riesgo asegurado y demás variables tales como edad del asegurado y valor asegurable del inmueble.
* El VTU no se calcula para los eventos en los que el cliente presente una póliza de vida o todo riesgo incendio y terremoto expedida por otra compañía de seguros, y que haya sido debidamente endosada a favor de Banco Scotiabank Colpatria. 
* Consulta tasas y tarifas en https://www.scotiabankcolpatria.com/tasas-y-tarifas
* El presente simulador se realiza con el fin de informar el Valor Total Unificado (VTU), pero no conlleva una obligación de otorgar el crédito por parte del Banco. </t>
    </r>
  </si>
  <si>
    <r>
      <t>Tasa de interés E.A</t>
    </r>
    <r>
      <rPr>
        <vertAlign val="superscript"/>
        <sz val="10"/>
        <color theme="1"/>
        <rFont val="Scotia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</si>
</sst>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&quot;$&quot;#,##0.00;[Red]\-&quot;$&quot;#,##0.00"/>
    <numFmt numFmtId="165" formatCode="_-&quot;$&quot;* #,##0.00_-;\-&quot;$&quot;* #,##0.00_-;_-&quot;$&quot;* &quot;-&quot;??_-;_-@_-"/>
    <numFmt numFmtId="166" formatCode="_(* #,##0.00_);_(* \(#,##0.00\);_(* &quot;-&quot;??_);_(@_)"/>
    <numFmt numFmtId="167" formatCode="_(* #,##0_);_(* \(#,##0\);_(* &quot;-&quot;??_);_(@_)"/>
    <numFmt numFmtId="168" formatCode="&quot;$&quot;\ #,##0.00_);[Red]\(&quot;$&quot;\ #,##0.00\)"/>
    <numFmt numFmtId="169" formatCode="0.0%"/>
    <numFmt numFmtId="170" formatCode="&quot;$&quot;\ #,##0_);[Red]\(&quot;$&quot;\ #,##0\)"/>
    <numFmt numFmtId="171" formatCode="_-[$$-240A]* #,##0.00_-;\-[$$-240A]* #,##0.00_-;_-[$$-240A]* &quot;-&quot;??_-;_-@_-"/>
    <numFmt numFmtId="172" formatCode="_-&quot;$&quot;* #,##0_-;\-&quot;$&quot;* #,##0_-;_-&quot;$&quot;* &quot;-&quot;??_-;_-@_-"/>
    <numFmt numFmtId="173" formatCode="0.0000%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Scotia"/>
      <family val="2"/>
    </font>
    <font>
      <b/>
      <sz val="10"/>
      <color theme="1"/>
      <name val="Scotia"/>
      <family val="2"/>
    </font>
    <font>
      <b/>
      <sz val="10"/>
      <name val="Scotia"/>
      <family val="2"/>
    </font>
    <font>
      <sz val="10"/>
      <name val="Scotia"/>
      <family val="2"/>
    </font>
    <font>
      <b/>
      <sz val="10"/>
      <color rgb="FFC00000"/>
      <name val="Scotia"/>
      <family val="2"/>
    </font>
    <font>
      <vertAlign val="superscript"/>
      <sz val="10"/>
      <color rgb="FF000000"/>
      <name val="Scotia"/>
      <family val="2"/>
    </font>
    <font>
      <vertAlign val="superscript"/>
      <sz val="10"/>
      <color theme="1"/>
      <name val="Scotia"/>
      <family val="2"/>
    </font>
    <font>
      <i/>
      <vertAlign val="superscript"/>
      <sz val="10"/>
      <color rgb="FFFF0000"/>
      <name val="Scotia"/>
      <family val="2"/>
    </font>
    <font>
      <i/>
      <vertAlign val="superscript"/>
      <sz val="10"/>
      <color theme="1"/>
      <name val="Scotia"/>
      <family val="2"/>
    </font>
    <font>
      <b/>
      <i/>
      <vertAlign val="superscript"/>
      <sz val="10"/>
      <color theme="1"/>
      <name val="Scotia"/>
      <family val="2"/>
    </font>
    <font>
      <i/>
      <sz val="10"/>
      <color theme="1"/>
      <name val="Scotia"/>
      <family val="2"/>
    </font>
    <font>
      <b/>
      <u/>
      <sz val="10"/>
      <name val="Scotia"/>
      <family val="2"/>
    </font>
    <font>
      <b/>
      <u/>
      <sz val="10"/>
      <color theme="1"/>
      <name val="Scotia"/>
      <family val="2"/>
    </font>
    <font>
      <vertAlign val="superscript"/>
      <sz val="10"/>
      <color rgb="FFC00000"/>
      <name val="Scotia"/>
      <family val="2"/>
    </font>
    <font>
      <b/>
      <sz val="10"/>
      <color rgb="FFFF0000"/>
      <name val="Scotia"/>
      <family val="2"/>
    </font>
    <font>
      <b/>
      <sz val="10"/>
      <color theme="0"/>
      <name val="Scotia Headline"/>
      <family val="2"/>
    </font>
    <font>
      <b/>
      <sz val="14"/>
      <color rgb="FFFF0000"/>
      <name val="Scotia Headline"/>
      <family val="2"/>
    </font>
  </fonts>
  <fills count="1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DD5D0"/>
        <bgColor indexed="64"/>
      </patternFill>
    </fill>
    <fill>
      <patternFill patternType="solid">
        <fgColor rgb="FFFFC7CE"/>
      </patternFill>
    </fill>
    <fill>
      <patternFill patternType="solid">
        <fgColor rgb="FFFF0000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21" fillId="9" borderId="0" applyNumberFormat="0" applyBorder="0" applyAlignment="0" applyProtection="0"/>
  </cellStyleXfs>
  <cellXfs count="281">
    <xf numFmtId="0" fontId="0" fillId="0" borderId="0" xfId="0"/>
    <xf numFmtId="0" fontId="3" fillId="0" borderId="0" xfId="0" applyFont="1"/>
    <xf numFmtId="10" fontId="0" fillId="0" borderId="0" xfId="2" applyNumberFormat="1" applyFont="1"/>
    <xf numFmtId="167" fontId="0" fillId="0" borderId="0" xfId="1" applyNumberFormat="1" applyFont="1"/>
    <xf numFmtId="10" fontId="0" fillId="0" borderId="0" xfId="0" applyNumberFormat="1"/>
    <xf numFmtId="167" fontId="0" fillId="0" borderId="0" xfId="0" applyNumberFormat="1"/>
    <xf numFmtId="17" fontId="0" fillId="0" borderId="0" xfId="0" applyNumberFormat="1"/>
    <xf numFmtId="168" fontId="0" fillId="0" borderId="0" xfId="0" applyNumberFormat="1"/>
    <xf numFmtId="166" fontId="0" fillId="0" borderId="0" xfId="1" applyFont="1"/>
    <xf numFmtId="166" fontId="4" fillId="2" borderId="0" xfId="1" applyFont="1" applyFill="1"/>
    <xf numFmtId="167" fontId="0" fillId="3" borderId="0" xfId="1" applyNumberFormat="1" applyFont="1" applyFill="1"/>
    <xf numFmtId="10" fontId="3" fillId="0" borderId="0" xfId="0" applyNumberFormat="1" applyFont="1"/>
    <xf numFmtId="0" fontId="2" fillId="2" borderId="0" xfId="0" applyFont="1" applyFill="1"/>
    <xf numFmtId="10" fontId="2" fillId="2" borderId="0" xfId="2" applyNumberFormat="1" applyFont="1" applyFill="1"/>
    <xf numFmtId="0" fontId="0" fillId="4" borderId="0" xfId="0" applyFill="1"/>
    <xf numFmtId="0" fontId="3" fillId="4" borderId="0" xfId="0" applyFont="1" applyFill="1"/>
    <xf numFmtId="0" fontId="2" fillId="4" borderId="0" xfId="0" applyFont="1" applyFill="1"/>
    <xf numFmtId="166" fontId="4" fillId="4" borderId="0" xfId="1" applyFont="1" applyFill="1"/>
    <xf numFmtId="167" fontId="0" fillId="4" borderId="0" xfId="1" applyNumberFormat="1" applyFont="1" applyFill="1"/>
    <xf numFmtId="2" fontId="0" fillId="0" borderId="0" xfId="0" applyNumberFormat="1"/>
    <xf numFmtId="167" fontId="0" fillId="4" borderId="0" xfId="0" applyNumberFormat="1" applyFill="1"/>
    <xf numFmtId="17" fontId="4" fillId="2" borderId="0" xfId="0" applyNumberFormat="1" applyFont="1" applyFill="1"/>
    <xf numFmtId="0" fontId="4" fillId="2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43" fontId="0" fillId="0" borderId="0" xfId="0" applyNumberFormat="1"/>
    <xf numFmtId="166" fontId="0" fillId="0" borderId="0" xfId="0" applyNumberFormat="1"/>
    <xf numFmtId="17" fontId="2" fillId="2" borderId="0" xfId="0" applyNumberFormat="1" applyFont="1" applyFill="1"/>
    <xf numFmtId="167" fontId="2" fillId="2" borderId="0" xfId="1" applyNumberFormat="1" applyFont="1" applyFill="1"/>
    <xf numFmtId="0" fontId="4" fillId="2" borderId="0" xfId="0" applyFont="1" applyFill="1" applyAlignment="1">
      <alignment horizontal="center"/>
    </xf>
    <xf numFmtId="167" fontId="3" fillId="0" borderId="0" xfId="0" applyNumberFormat="1" applyFont="1"/>
    <xf numFmtId="169" fontId="0" fillId="0" borderId="0" xfId="2" applyNumberFormat="1" applyFont="1"/>
    <xf numFmtId="170" fontId="0" fillId="0" borderId="0" xfId="0" applyNumberFormat="1"/>
    <xf numFmtId="0" fontId="6" fillId="0" borderId="0" xfId="0" applyFont="1" applyAlignment="1">
      <alignment wrapText="1"/>
    </xf>
    <xf numFmtId="9" fontId="0" fillId="0" borderId="0" xfId="2" applyFont="1"/>
    <xf numFmtId="9" fontId="13" fillId="0" borderId="0" xfId="2" applyFont="1"/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/>
    <xf numFmtId="0" fontId="0" fillId="0" borderId="0" xfId="0" applyAlignment="1">
      <alignment horizontal="left" vertical="center"/>
    </xf>
    <xf numFmtId="10" fontId="0" fillId="0" borderId="0" xfId="2" applyNumberFormat="1" applyFont="1" applyAlignment="1">
      <alignment horizontal="center" vertical="center"/>
    </xf>
    <xf numFmtId="10" fontId="2" fillId="6" borderId="0" xfId="2" applyNumberFormat="1" applyFont="1" applyFill="1" applyAlignment="1">
      <alignment horizontal="center" vertical="center"/>
    </xf>
    <xf numFmtId="9" fontId="0" fillId="0" borderId="0" xfId="2" applyFont="1" applyAlignment="1">
      <alignment horizontal="center" vertical="center"/>
    </xf>
    <xf numFmtId="0" fontId="16" fillId="0" borderId="0" xfId="4" applyFont="1" applyAlignment="1">
      <alignment horizontal="left" vertical="center" indent="1"/>
    </xf>
    <xf numFmtId="10" fontId="17" fillId="0" borderId="0" xfId="5" applyNumberFormat="1" applyFont="1" applyFill="1" applyBorder="1" applyAlignment="1">
      <alignment horizontal="center" vertical="center"/>
    </xf>
    <xf numFmtId="0" fontId="18" fillId="0" borderId="0" xfId="0" applyFont="1"/>
    <xf numFmtId="0" fontId="19" fillId="10" borderId="6" xfId="4" applyFont="1" applyFill="1" applyBorder="1" applyAlignment="1">
      <alignment horizontal="center" vertical="center"/>
    </xf>
    <xf numFmtId="0" fontId="19" fillId="10" borderId="7" xfId="4" applyFont="1" applyFill="1" applyBorder="1" applyAlignment="1">
      <alignment horizontal="center" vertical="center"/>
    </xf>
    <xf numFmtId="0" fontId="19" fillId="10" borderId="8" xfId="4" applyFont="1" applyFill="1" applyBorder="1" applyAlignment="1">
      <alignment horizontal="center" vertical="center"/>
    </xf>
    <xf numFmtId="0" fontId="19" fillId="10" borderId="9" xfId="4" applyFont="1" applyFill="1" applyBorder="1" applyAlignment="1">
      <alignment horizontal="center" vertical="center"/>
    </xf>
    <xf numFmtId="0" fontId="20" fillId="11" borderId="4" xfId="0" applyFont="1" applyFill="1" applyBorder="1" applyAlignment="1">
      <alignment horizontal="center" vertical="center"/>
    </xf>
    <xf numFmtId="0" fontId="20" fillId="0" borderId="9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12" xfId="0" applyFont="1" applyBorder="1" applyAlignment="1">
      <alignment horizontal="center"/>
    </xf>
    <xf numFmtId="0" fontId="18" fillId="4" borderId="12" xfId="0" applyFont="1" applyFill="1" applyBorder="1" applyAlignment="1">
      <alignment horizontal="center"/>
    </xf>
    <xf numFmtId="0" fontId="20" fillId="11" borderId="6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vertical="center"/>
    </xf>
    <xf numFmtId="0" fontId="20" fillId="12" borderId="6" xfId="0" applyFont="1" applyFill="1" applyBorder="1" applyAlignment="1">
      <alignment horizontal="center" vertical="center" wrapText="1"/>
    </xf>
    <xf numFmtId="0" fontId="20" fillId="12" borderId="9" xfId="0" applyFont="1" applyFill="1" applyBorder="1" applyAlignment="1">
      <alignment vertical="center"/>
    </xf>
    <xf numFmtId="0" fontId="20" fillId="12" borderId="3" xfId="0" applyFont="1" applyFill="1" applyBorder="1" applyAlignment="1">
      <alignment vertical="center"/>
    </xf>
    <xf numFmtId="0" fontId="18" fillId="12" borderId="2" xfId="0" applyFont="1" applyFill="1" applyBorder="1" applyAlignment="1">
      <alignment vertical="center"/>
    </xf>
    <xf numFmtId="0" fontId="18" fillId="12" borderId="12" xfId="0" applyFont="1" applyFill="1" applyBorder="1" applyAlignment="1">
      <alignment horizontal="center"/>
    </xf>
    <xf numFmtId="0" fontId="19" fillId="10" borderId="4" xfId="0" applyFont="1" applyFill="1" applyBorder="1" applyAlignment="1">
      <alignment horizontal="center" vertical="center"/>
    </xf>
    <xf numFmtId="10" fontId="18" fillId="0" borderId="11" xfId="0" applyNumberFormat="1" applyFont="1" applyBorder="1" applyAlignment="1">
      <alignment horizontal="center" vertical="center"/>
    </xf>
    <xf numFmtId="10" fontId="18" fillId="0" borderId="3" xfId="0" applyNumberFormat="1" applyFont="1" applyBorder="1" applyAlignment="1">
      <alignment horizontal="center" vertical="center"/>
    </xf>
    <xf numFmtId="10" fontId="18" fillId="0" borderId="4" xfId="0" applyNumberFormat="1" applyFont="1" applyBorder="1" applyAlignment="1">
      <alignment horizontal="center" vertical="center"/>
    </xf>
    <xf numFmtId="0" fontId="19" fillId="12" borderId="4" xfId="0" applyFont="1" applyFill="1" applyBorder="1" applyAlignment="1">
      <alignment horizontal="center" vertical="center"/>
    </xf>
    <xf numFmtId="0" fontId="19" fillId="12" borderId="8" xfId="4" applyFont="1" applyFill="1" applyBorder="1" applyAlignment="1">
      <alignment horizontal="center" vertical="center"/>
    </xf>
    <xf numFmtId="10" fontId="18" fillId="12" borderId="11" xfId="0" applyNumberFormat="1" applyFont="1" applyFill="1" applyBorder="1" applyAlignment="1">
      <alignment horizontal="center" vertical="center"/>
    </xf>
    <xf numFmtId="10" fontId="18" fillId="12" borderId="3" xfId="0" applyNumberFormat="1" applyFont="1" applyFill="1" applyBorder="1" applyAlignment="1">
      <alignment horizontal="center" vertical="center"/>
    </xf>
    <xf numFmtId="0" fontId="18" fillId="12" borderId="13" xfId="0" applyFont="1" applyFill="1" applyBorder="1" applyAlignment="1">
      <alignment vertical="center"/>
    </xf>
    <xf numFmtId="10" fontId="18" fillId="12" borderId="4" xfId="0" applyNumberFormat="1" applyFont="1" applyFill="1" applyBorder="1" applyAlignment="1">
      <alignment horizontal="center" vertical="center"/>
    </xf>
    <xf numFmtId="0" fontId="19" fillId="10" borderId="6" xfId="0" applyFont="1" applyFill="1" applyBorder="1" applyAlignment="1">
      <alignment horizontal="center" vertical="center"/>
    </xf>
    <xf numFmtId="0" fontId="19" fillId="10" borderId="8" xfId="0" applyFont="1" applyFill="1" applyBorder="1" applyAlignment="1">
      <alignment horizontal="center" vertical="center"/>
    </xf>
    <xf numFmtId="10" fontId="18" fillId="0" borderId="2" xfId="0" applyNumberFormat="1" applyFont="1" applyBorder="1" applyAlignment="1">
      <alignment horizontal="center" vertical="center"/>
    </xf>
    <xf numFmtId="0" fontId="19" fillId="10" borderId="5" xfId="0" applyFont="1" applyFill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10" fontId="18" fillId="0" borderId="6" xfId="0" applyNumberFormat="1" applyFont="1" applyBorder="1" applyAlignment="1">
      <alignment horizontal="center" vertical="center"/>
    </xf>
    <xf numFmtId="10" fontId="18" fillId="0" borderId="5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/>
    </xf>
    <xf numFmtId="0" fontId="18" fillId="4" borderId="14" xfId="0" applyFont="1" applyFill="1" applyBorder="1" applyAlignment="1">
      <alignment horizontal="center"/>
    </xf>
    <xf numFmtId="0" fontId="18" fillId="0" borderId="3" xfId="0" applyFont="1" applyBorder="1"/>
    <xf numFmtId="0" fontId="18" fillId="4" borderId="9" xfId="0" applyFont="1" applyFill="1" applyBorder="1" applyAlignment="1">
      <alignment horizontal="center"/>
    </xf>
    <xf numFmtId="0" fontId="18" fillId="0" borderId="11" xfId="0" applyFont="1" applyBorder="1" applyAlignment="1">
      <alignment vertical="center"/>
    </xf>
    <xf numFmtId="10" fontId="18" fillId="0" borderId="10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9" fillId="12" borderId="6" xfId="0" applyFont="1" applyFill="1" applyBorder="1" applyAlignment="1">
      <alignment horizontal="center" vertical="center"/>
    </xf>
    <xf numFmtId="0" fontId="19" fillId="12" borderId="8" xfId="0" applyFont="1" applyFill="1" applyBorder="1" applyAlignment="1">
      <alignment horizontal="center" vertical="center"/>
    </xf>
    <xf numFmtId="0" fontId="18" fillId="12" borderId="9" xfId="0" applyFont="1" applyFill="1" applyBorder="1" applyAlignment="1">
      <alignment horizontal="center"/>
    </xf>
    <xf numFmtId="10" fontId="18" fillId="12" borderId="5" xfId="0" applyNumberFormat="1" applyFont="1" applyFill="1" applyBorder="1" applyAlignment="1">
      <alignment horizontal="center" vertical="center"/>
    </xf>
    <xf numFmtId="0" fontId="18" fillId="12" borderId="14" xfId="0" applyFont="1" applyFill="1" applyBorder="1" applyAlignment="1">
      <alignment horizontal="center"/>
    </xf>
    <xf numFmtId="0" fontId="19" fillId="10" borderId="9" xfId="0" applyFont="1" applyFill="1" applyBorder="1" applyAlignment="1">
      <alignment horizontal="center" vertical="center" wrapText="1"/>
    </xf>
    <xf numFmtId="0" fontId="20" fillId="11" borderId="2" xfId="0" applyFont="1" applyFill="1" applyBorder="1" applyAlignment="1">
      <alignment horizontal="center" vertical="center"/>
    </xf>
    <xf numFmtId="0" fontId="19" fillId="10" borderId="2" xfId="0" applyFont="1" applyFill="1" applyBorder="1" applyAlignment="1">
      <alignment horizontal="center" vertical="center"/>
    </xf>
    <xf numFmtId="0" fontId="19" fillId="10" borderId="3" xfId="0" applyFont="1" applyFill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6" xfId="0" applyFont="1" applyBorder="1" applyAlignment="1">
      <alignment vertical="center"/>
    </xf>
    <xf numFmtId="10" fontId="18" fillId="0" borderId="9" xfId="0" applyNumberFormat="1" applyFont="1" applyBorder="1" applyAlignment="1">
      <alignment horizontal="center" vertical="center"/>
    </xf>
    <xf numFmtId="10" fontId="18" fillId="0" borderId="8" xfId="0" applyNumberFormat="1" applyFont="1" applyBorder="1" applyAlignment="1">
      <alignment horizontal="center" vertical="center"/>
    </xf>
    <xf numFmtId="0" fontId="18" fillId="12" borderId="6" xfId="0" applyFont="1" applyFill="1" applyBorder="1" applyAlignment="1">
      <alignment vertical="center"/>
    </xf>
    <xf numFmtId="10" fontId="18" fillId="12" borderId="9" xfId="0" applyNumberFormat="1" applyFont="1" applyFill="1" applyBorder="1" applyAlignment="1">
      <alignment horizontal="center" vertical="center"/>
    </xf>
    <xf numFmtId="10" fontId="18" fillId="12" borderId="8" xfId="0" applyNumberFormat="1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10" fontId="17" fillId="0" borderId="9" xfId="6" applyNumberFormat="1" applyFont="1" applyFill="1" applyBorder="1" applyAlignment="1">
      <alignment horizontal="center" vertical="center"/>
    </xf>
    <xf numFmtId="0" fontId="17" fillId="0" borderId="9" xfId="6" applyFont="1" applyFill="1" applyBorder="1" applyAlignment="1">
      <alignment horizontal="center" vertical="center"/>
    </xf>
    <xf numFmtId="9" fontId="3" fillId="0" borderId="0" xfId="2" applyFont="1"/>
    <xf numFmtId="0" fontId="4" fillId="2" borderId="0" xfId="0" applyFont="1" applyFill="1" applyAlignment="1">
      <alignment horizont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9" fillId="10" borderId="6" xfId="0" applyFont="1" applyFill="1" applyBorder="1" applyAlignment="1">
      <alignment horizontal="center" vertical="center"/>
    </xf>
    <xf numFmtId="0" fontId="19" fillId="10" borderId="8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9" fillId="12" borderId="6" xfId="0" applyFont="1" applyFill="1" applyBorder="1" applyAlignment="1">
      <alignment horizontal="center" vertical="center"/>
    </xf>
    <xf numFmtId="0" fontId="19" fillId="12" borderId="8" xfId="0" applyFont="1" applyFill="1" applyBorder="1" applyAlignment="1">
      <alignment horizontal="center" vertical="center"/>
    </xf>
    <xf numFmtId="0" fontId="18" fillId="12" borderId="11" xfId="0" applyFont="1" applyFill="1" applyBorder="1" applyAlignment="1">
      <alignment horizontal="center" vertical="center"/>
    </xf>
    <xf numFmtId="0" fontId="18" fillId="12" borderId="10" xfId="0" applyFont="1" applyFill="1" applyBorder="1" applyAlignment="1">
      <alignment horizontal="center" vertical="center"/>
    </xf>
    <xf numFmtId="0" fontId="18" fillId="12" borderId="4" xfId="0" applyFont="1" applyFill="1" applyBorder="1" applyAlignment="1">
      <alignment horizontal="center" vertical="center"/>
    </xf>
    <xf numFmtId="0" fontId="18" fillId="12" borderId="5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12" borderId="6" xfId="0" applyFont="1" applyFill="1" applyBorder="1" applyAlignment="1">
      <alignment horizontal="center" vertical="center"/>
    </xf>
    <xf numFmtId="0" fontId="18" fillId="12" borderId="8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9" fillId="0" borderId="0" xfId="0" applyFont="1" applyAlignment="1" applyProtection="1"/>
    <xf numFmtId="0" fontId="9" fillId="0" borderId="0" xfId="0" applyFont="1" applyAlignment="1" applyProtection="1">
      <alignment horizontal="center"/>
    </xf>
    <xf numFmtId="0" fontId="9" fillId="4" borderId="0" xfId="0" applyFont="1" applyFill="1" applyAlignment="1" applyProtection="1">
      <alignment horizontal="center"/>
    </xf>
    <xf numFmtId="0" fontId="9" fillId="0" borderId="0" xfId="0" applyFont="1" applyProtection="1"/>
    <xf numFmtId="0" fontId="12" fillId="0" borderId="0" xfId="0" applyFont="1" applyAlignment="1" applyProtection="1">
      <alignment horizontal="center"/>
    </xf>
    <xf numFmtId="0" fontId="9" fillId="0" borderId="0" xfId="0" applyFont="1" applyFill="1" applyBorder="1" applyProtection="1"/>
    <xf numFmtId="0" fontId="10" fillId="2" borderId="1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4" borderId="0" xfId="0" applyFont="1" applyFill="1" applyAlignment="1" applyProtection="1">
      <alignment horizontal="center"/>
    </xf>
    <xf numFmtId="167" fontId="9" fillId="0" borderId="0" xfId="0" applyNumberFormat="1" applyFont="1" applyProtection="1"/>
    <xf numFmtId="0" fontId="7" fillId="0" borderId="0" xfId="0" applyFont="1" applyProtection="1"/>
    <xf numFmtId="0" fontId="7" fillId="0" borderId="0" xfId="0" applyFont="1" applyAlignment="1" applyProtection="1"/>
    <xf numFmtId="0" fontId="8" fillId="0" borderId="1" xfId="0" applyFont="1" applyBorder="1" applyAlignment="1" applyProtection="1"/>
    <xf numFmtId="172" fontId="7" fillId="0" borderId="1" xfId="3" applyNumberFormat="1" applyFont="1" applyBorder="1" applyAlignment="1" applyProtection="1">
      <alignment horizontal="right"/>
    </xf>
    <xf numFmtId="167" fontId="7" fillId="0" borderId="0" xfId="1" applyNumberFormat="1" applyFont="1" applyAlignment="1" applyProtection="1">
      <alignment horizontal="center"/>
    </xf>
    <xf numFmtId="167" fontId="7" fillId="0" borderId="0" xfId="0" applyNumberFormat="1" applyFont="1" applyProtection="1"/>
    <xf numFmtId="0" fontId="7" fillId="0" borderId="0" xfId="0" applyFont="1" applyFill="1" applyBorder="1" applyProtection="1"/>
    <xf numFmtId="2" fontId="7" fillId="0" borderId="0" xfId="0" applyNumberFormat="1" applyFont="1" applyAlignment="1" applyProtection="1">
      <alignment horizontal="center"/>
    </xf>
    <xf numFmtId="164" fontId="10" fillId="2" borderId="0" xfId="0" applyNumberFormat="1" applyFont="1" applyFill="1" applyProtection="1"/>
    <xf numFmtId="171" fontId="9" fillId="0" borderId="0" xfId="0" applyNumberFormat="1" applyFont="1" applyProtection="1"/>
    <xf numFmtId="0" fontId="7" fillId="4" borderId="0" xfId="0" applyFont="1" applyFill="1" applyProtection="1"/>
    <xf numFmtId="167" fontId="7" fillId="0" borderId="1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center"/>
    </xf>
    <xf numFmtId="0" fontId="11" fillId="4" borderId="0" xfId="0" applyFont="1" applyFill="1" applyAlignment="1" applyProtection="1">
      <alignment horizontal="center"/>
    </xf>
    <xf numFmtId="10" fontId="11" fillId="0" borderId="0" xfId="2" applyNumberFormat="1" applyFont="1" applyAlignment="1" applyProtection="1">
      <alignment horizontal="center"/>
    </xf>
    <xf numFmtId="0" fontId="10" fillId="2" borderId="0" xfId="0" applyFont="1" applyFill="1" applyProtection="1"/>
    <xf numFmtId="10" fontId="7" fillId="0" borderId="1" xfId="2" applyNumberFormat="1" applyFont="1" applyBorder="1" applyAlignment="1" applyProtection="1">
      <alignment horizontal="right"/>
    </xf>
    <xf numFmtId="0" fontId="10" fillId="0" borderId="0" xfId="0" applyFont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10" fontId="10" fillId="0" borderId="0" xfId="0" applyNumberFormat="1" applyFont="1" applyAlignment="1" applyProtection="1">
      <alignment horizontal="center"/>
    </xf>
    <xf numFmtId="10" fontId="11" fillId="0" borderId="0" xfId="2" applyNumberFormat="1" applyFont="1" applyProtection="1"/>
    <xf numFmtId="0" fontId="11" fillId="0" borderId="0" xfId="0" applyFont="1" applyProtection="1"/>
    <xf numFmtId="171" fontId="7" fillId="0" borderId="0" xfId="0" applyNumberFormat="1" applyFont="1" applyProtection="1"/>
    <xf numFmtId="0" fontId="11" fillId="4" borderId="0" xfId="0" applyFont="1" applyFill="1" applyProtection="1"/>
    <xf numFmtId="0" fontId="11" fillId="0" borderId="0" xfId="0" applyFont="1" applyFill="1" applyBorder="1" applyProtection="1"/>
    <xf numFmtId="10" fontId="7" fillId="0" borderId="1" xfId="0" applyNumberFormat="1" applyFont="1" applyBorder="1" applyAlignment="1" applyProtection="1">
      <alignment horizontal="right"/>
    </xf>
    <xf numFmtId="9" fontId="7" fillId="0" borderId="0" xfId="2" applyFont="1" applyAlignment="1" applyProtection="1">
      <alignment horizontal="center"/>
    </xf>
    <xf numFmtId="167" fontId="11" fillId="0" borderId="0" xfId="0" applyNumberFormat="1" applyFont="1" applyProtection="1"/>
    <xf numFmtId="0" fontId="8" fillId="0" borderId="1" xfId="0" applyFont="1" applyFill="1" applyBorder="1" applyAlignment="1" applyProtection="1"/>
    <xf numFmtId="173" fontId="7" fillId="0" borderId="1" xfId="2" applyNumberFormat="1" applyFont="1" applyFill="1" applyBorder="1" applyAlignment="1" applyProtection="1">
      <alignment horizontal="right"/>
    </xf>
    <xf numFmtId="10" fontId="10" fillId="2" borderId="0" xfId="2" applyNumberFormat="1" applyFont="1" applyFill="1" applyProtection="1"/>
    <xf numFmtId="164" fontId="7" fillId="0" borderId="0" xfId="0" applyNumberFormat="1" applyFont="1" applyAlignment="1" applyProtection="1">
      <alignment horizontal="center"/>
    </xf>
    <xf numFmtId="14" fontId="7" fillId="0" borderId="1" xfId="1" applyNumberFormat="1" applyFont="1" applyBorder="1" applyAlignment="1" applyProtection="1">
      <alignment horizontal="right"/>
    </xf>
    <xf numFmtId="0" fontId="8" fillId="0" borderId="0" xfId="0" applyFont="1" applyAlignment="1" applyProtection="1"/>
    <xf numFmtId="14" fontId="7" fillId="0" borderId="0" xfId="1" applyNumberFormat="1" applyFont="1" applyAlignment="1" applyProtection="1">
      <alignment horizontal="right"/>
    </xf>
    <xf numFmtId="14" fontId="7" fillId="0" borderId="0" xfId="1" applyNumberFormat="1" applyFont="1" applyAlignment="1" applyProtection="1">
      <alignment horizontal="center"/>
    </xf>
    <xf numFmtId="167" fontId="11" fillId="0" borderId="0" xfId="0" applyNumberFormat="1" applyFont="1" applyAlignment="1" applyProtection="1">
      <alignment horizontal="center"/>
    </xf>
    <xf numFmtId="14" fontId="7" fillId="0" borderId="1" xfId="0" applyNumberFormat="1" applyFont="1" applyBorder="1" applyAlignment="1" applyProtection="1">
      <alignment horizontal="right"/>
    </xf>
    <xf numFmtId="167" fontId="11" fillId="0" borderId="0" xfId="0" applyNumberFormat="1" applyFont="1" applyFill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0" applyFont="1" applyFill="1" applyProtection="1"/>
    <xf numFmtId="14" fontId="9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wrapText="1"/>
    </xf>
    <xf numFmtId="166" fontId="10" fillId="2" borderId="1" xfId="1" applyFont="1" applyFill="1" applyBorder="1" applyAlignment="1" applyProtection="1">
      <alignment horizontal="center" vertical="center" wrapText="1"/>
    </xf>
    <xf numFmtId="166" fontId="10" fillId="4" borderId="1" xfId="1" applyFont="1" applyFill="1" applyBorder="1" applyAlignment="1" applyProtection="1">
      <alignment horizontal="center" vertical="center" wrapText="1"/>
    </xf>
    <xf numFmtId="0" fontId="11" fillId="2" borderId="0" xfId="0" applyFont="1" applyFill="1" applyAlignment="1" applyProtection="1">
      <alignment horizontal="center"/>
    </xf>
    <xf numFmtId="17" fontId="9" fillId="0" borderId="0" xfId="0" applyNumberFormat="1" applyFont="1" applyProtection="1"/>
    <xf numFmtId="17" fontId="9" fillId="0" borderId="1" xfId="0" applyNumberFormat="1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/>
    </xf>
    <xf numFmtId="167" fontId="9" fillId="0" borderId="1" xfId="0" applyNumberFormat="1" applyFont="1" applyBorder="1" applyAlignment="1" applyProtection="1">
      <alignment horizontal="center"/>
    </xf>
    <xf numFmtId="0" fontId="9" fillId="4" borderId="1" xfId="0" applyFont="1" applyFill="1" applyBorder="1" applyAlignment="1" applyProtection="1">
      <alignment horizontal="center"/>
    </xf>
    <xf numFmtId="167" fontId="9" fillId="0" borderId="0" xfId="1" applyNumberFormat="1" applyFont="1" applyProtection="1"/>
    <xf numFmtId="14" fontId="9" fillId="0" borderId="0" xfId="0" applyNumberFormat="1" applyFont="1" applyProtection="1"/>
    <xf numFmtId="1" fontId="9" fillId="0" borderId="0" xfId="0" applyNumberFormat="1" applyFont="1" applyProtection="1"/>
    <xf numFmtId="166" fontId="9" fillId="0" borderId="0" xfId="1" applyFont="1" applyProtection="1"/>
    <xf numFmtId="166" fontId="9" fillId="0" borderId="1" xfId="1" applyFont="1" applyBorder="1" applyAlignment="1" applyProtection="1">
      <alignment horizontal="center"/>
    </xf>
    <xf numFmtId="168" fontId="11" fillId="0" borderId="1" xfId="0" applyNumberFormat="1" applyFont="1" applyBorder="1" applyAlignment="1" applyProtection="1">
      <alignment horizontal="center"/>
    </xf>
    <xf numFmtId="167" fontId="9" fillId="0" borderId="1" xfId="1" applyNumberFormat="1" applyFont="1" applyBorder="1" applyAlignment="1" applyProtection="1">
      <alignment horizontal="center"/>
    </xf>
    <xf numFmtId="167" fontId="9" fillId="4" borderId="1" xfId="1" applyNumberFormat="1" applyFont="1" applyFill="1" applyBorder="1" applyAlignment="1" applyProtection="1">
      <alignment horizontal="center"/>
    </xf>
    <xf numFmtId="168" fontId="9" fillId="0" borderId="0" xfId="0" applyNumberFormat="1" applyFont="1" applyProtection="1"/>
    <xf numFmtId="168" fontId="9" fillId="0" borderId="1" xfId="0" applyNumberFormat="1" applyFont="1" applyBorder="1" applyAlignment="1" applyProtection="1">
      <alignment horizontal="center"/>
    </xf>
    <xf numFmtId="167" fontId="9" fillId="3" borderId="1" xfId="1" applyNumberFormat="1" applyFont="1" applyFill="1" applyBorder="1" applyAlignment="1" applyProtection="1">
      <alignment horizontal="center"/>
    </xf>
    <xf numFmtId="10" fontId="9" fillId="0" borderId="0" xfId="2" applyNumberFormat="1" applyFont="1" applyProtection="1"/>
    <xf numFmtId="10" fontId="10" fillId="4" borderId="0" xfId="2" applyNumberFormat="1" applyFont="1" applyFill="1" applyProtection="1"/>
    <xf numFmtId="0" fontId="9" fillId="4" borderId="0" xfId="0" applyFont="1" applyFill="1" applyProtection="1"/>
    <xf numFmtId="0" fontId="9" fillId="4" borderId="0" xfId="0" applyFont="1" applyFill="1" applyAlignment="1" applyProtection="1"/>
    <xf numFmtId="0" fontId="22" fillId="14" borderId="0" xfId="0" applyFont="1" applyFill="1" applyProtection="1"/>
    <xf numFmtId="9" fontId="22" fillId="14" borderId="0" xfId="2" applyFont="1" applyFill="1" applyProtection="1"/>
    <xf numFmtId="0" fontId="22" fillId="0" borderId="0" xfId="0" applyFont="1" applyProtection="1"/>
    <xf numFmtId="9" fontId="22" fillId="0" borderId="0" xfId="2" applyFont="1" applyProtection="1"/>
    <xf numFmtId="0" fontId="22" fillId="4" borderId="0" xfId="0" applyFont="1" applyFill="1" applyBorder="1" applyProtection="1"/>
    <xf numFmtId="0" fontId="22" fillId="0" borderId="0" xfId="0" applyFont="1" applyBorder="1" applyProtection="1"/>
    <xf numFmtId="0" fontId="22" fillId="4" borderId="11" xfId="0" applyFont="1" applyFill="1" applyBorder="1" applyProtection="1"/>
    <xf numFmtId="0" fontId="22" fillId="4" borderId="16" xfId="0" applyFont="1" applyFill="1" applyBorder="1" applyProtection="1"/>
    <xf numFmtId="0" fontId="22" fillId="4" borderId="10" xfId="0" applyFont="1" applyFill="1" applyBorder="1" applyProtection="1"/>
    <xf numFmtId="0" fontId="22" fillId="4" borderId="2" xfId="0" applyFont="1" applyFill="1" applyBorder="1" applyProtection="1"/>
    <xf numFmtId="0" fontId="22" fillId="4" borderId="3" xfId="0" applyFont="1" applyFill="1" applyBorder="1" applyProtection="1"/>
    <xf numFmtId="0" fontId="38" fillId="4" borderId="0" xfId="0" applyFont="1" applyFill="1" applyBorder="1" applyAlignment="1" applyProtection="1">
      <alignment horizontal="center"/>
    </xf>
    <xf numFmtId="0" fontId="36" fillId="4" borderId="0" xfId="0" applyFont="1" applyFill="1" applyBorder="1" applyAlignment="1" applyProtection="1"/>
    <xf numFmtId="0" fontId="22" fillId="14" borderId="0" xfId="0" applyFont="1" applyFill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4" borderId="0" xfId="0" applyFont="1" applyFill="1" applyBorder="1" applyAlignment="1" applyProtection="1">
      <alignment vertical="center"/>
    </xf>
    <xf numFmtId="0" fontId="22" fillId="4" borderId="2" xfId="0" applyFont="1" applyFill="1" applyBorder="1" applyAlignment="1" applyProtection="1">
      <alignment vertical="center"/>
    </xf>
    <xf numFmtId="0" fontId="37" fillId="10" borderId="11" xfId="0" applyFont="1" applyFill="1" applyBorder="1" applyAlignment="1" applyProtection="1">
      <alignment horizontal="center" vertical="center"/>
    </xf>
    <xf numFmtId="0" fontId="37" fillId="10" borderId="10" xfId="0" applyFont="1" applyFill="1" applyBorder="1" applyAlignment="1" applyProtection="1">
      <alignment horizontal="center" vertical="center"/>
    </xf>
    <xf numFmtId="0" fontId="37" fillId="6" borderId="11" xfId="0" applyFont="1" applyFill="1" applyBorder="1" applyAlignment="1" applyProtection="1">
      <alignment horizontal="center" vertical="center"/>
    </xf>
    <xf numFmtId="0" fontId="37" fillId="6" borderId="10" xfId="0" applyFont="1" applyFill="1" applyBorder="1" applyAlignment="1" applyProtection="1">
      <alignment horizontal="center" vertical="center"/>
    </xf>
    <xf numFmtId="0" fontId="37" fillId="13" borderId="11" xfId="0" applyFont="1" applyFill="1" applyBorder="1" applyAlignment="1" applyProtection="1">
      <alignment horizontal="center" vertical="center"/>
    </xf>
    <xf numFmtId="0" fontId="37" fillId="13" borderId="10" xfId="0" applyFont="1" applyFill="1" applyBorder="1" applyAlignment="1" applyProtection="1">
      <alignment horizontal="center" vertical="center"/>
    </xf>
    <xf numFmtId="0" fontId="22" fillId="4" borderId="3" xfId="0" applyFont="1" applyFill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9" fontId="22" fillId="0" borderId="0" xfId="2" applyFont="1" applyAlignment="1" applyProtection="1">
      <alignment vertical="center"/>
    </xf>
    <xf numFmtId="0" fontId="22" fillId="5" borderId="2" xfId="0" applyFont="1" applyFill="1" applyBorder="1" applyAlignment="1" applyProtection="1">
      <alignment vertical="center"/>
    </xf>
    <xf numFmtId="172" fontId="23" fillId="5" borderId="3" xfId="3" applyNumberFormat="1" applyFont="1" applyFill="1" applyBorder="1" applyAlignment="1" applyProtection="1">
      <alignment horizontal="center" vertical="center"/>
    </xf>
    <xf numFmtId="172" fontId="22" fillId="0" borderId="0" xfId="0" applyNumberFormat="1" applyFont="1" applyBorder="1" applyProtection="1"/>
    <xf numFmtId="9" fontId="22" fillId="0" borderId="0" xfId="0" applyNumberFormat="1" applyFont="1" applyProtection="1"/>
    <xf numFmtId="172" fontId="22" fillId="14" borderId="0" xfId="0" applyNumberFormat="1" applyFont="1" applyFill="1" applyProtection="1"/>
    <xf numFmtId="0" fontId="22" fillId="0" borderId="2" xfId="0" applyFont="1" applyFill="1" applyBorder="1" applyAlignment="1" applyProtection="1">
      <alignment vertical="center"/>
    </xf>
    <xf numFmtId="167" fontId="22" fillId="4" borderId="3" xfId="0" applyNumberFormat="1" applyFont="1" applyFill="1" applyBorder="1" applyAlignment="1" applyProtection="1">
      <alignment horizontal="center" vertical="center"/>
    </xf>
    <xf numFmtId="172" fontId="22" fillId="4" borderId="3" xfId="3" applyNumberFormat="1" applyFont="1" applyFill="1" applyBorder="1" applyAlignment="1" applyProtection="1">
      <alignment horizontal="center" vertical="center"/>
    </xf>
    <xf numFmtId="10" fontId="23" fillId="5" borderId="3" xfId="2" applyNumberFormat="1" applyFont="1" applyFill="1" applyBorder="1" applyAlignment="1" applyProtection="1">
      <alignment horizontal="center" vertical="center"/>
    </xf>
    <xf numFmtId="172" fontId="22" fillId="0" borderId="3" xfId="3" applyNumberFormat="1" applyFont="1" applyFill="1" applyBorder="1" applyAlignment="1" applyProtection="1">
      <alignment horizontal="center" vertical="center"/>
    </xf>
    <xf numFmtId="10" fontId="22" fillId="4" borderId="3" xfId="0" applyNumberFormat="1" applyFont="1" applyFill="1" applyBorder="1" applyAlignment="1" applyProtection="1">
      <alignment horizontal="center" vertical="center"/>
    </xf>
    <xf numFmtId="14" fontId="23" fillId="5" borderId="3" xfId="3" applyNumberFormat="1" applyFont="1" applyFill="1" applyBorder="1" applyAlignment="1" applyProtection="1">
      <alignment horizontal="center" vertical="center"/>
    </xf>
    <xf numFmtId="10" fontId="23" fillId="4" borderId="3" xfId="0" applyNumberFormat="1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 applyProtection="1">
      <alignment horizontal="center" vertical="center"/>
    </xf>
    <xf numFmtId="0" fontId="22" fillId="0" borderId="4" xfId="0" applyFont="1" applyFill="1" applyBorder="1" applyAlignment="1" applyProtection="1">
      <alignment vertical="center"/>
    </xf>
    <xf numFmtId="14" fontId="26" fillId="8" borderId="5" xfId="1" applyNumberFormat="1" applyFont="1" applyFill="1" applyBorder="1" applyAlignment="1" applyProtection="1">
      <alignment horizontal="center" vertical="center"/>
    </xf>
    <xf numFmtId="1" fontId="22" fillId="0" borderId="5" xfId="0" applyNumberFormat="1" applyFont="1" applyFill="1" applyBorder="1" applyAlignment="1" applyProtection="1">
      <alignment horizontal="center" vertical="center"/>
    </xf>
    <xf numFmtId="10" fontId="22" fillId="0" borderId="5" xfId="2" applyNumberFormat="1" applyFont="1" applyFill="1" applyBorder="1" applyAlignment="1" applyProtection="1">
      <alignment horizontal="center" vertical="center"/>
    </xf>
    <xf numFmtId="10" fontId="22" fillId="4" borderId="0" xfId="2" applyNumberFormat="1" applyFont="1" applyFill="1" applyBorder="1" applyProtection="1"/>
    <xf numFmtId="0" fontId="29" fillId="0" borderId="0" xfId="0" applyFont="1" applyBorder="1" applyAlignment="1" applyProtection="1">
      <alignment vertical="center"/>
    </xf>
    <xf numFmtId="14" fontId="22" fillId="0" borderId="0" xfId="1" applyNumberFormat="1" applyFont="1" applyFill="1" applyBorder="1" applyAlignment="1" applyProtection="1">
      <alignment horizontal="right"/>
    </xf>
    <xf numFmtId="0" fontId="30" fillId="0" borderId="0" xfId="0" applyFont="1" applyBorder="1" applyAlignment="1" applyProtection="1">
      <alignment horizontal="left" wrapText="1"/>
    </xf>
    <xf numFmtId="0" fontId="22" fillId="4" borderId="3" xfId="0" applyFont="1" applyFill="1" applyBorder="1" applyAlignment="1" applyProtection="1">
      <alignment horizontal="left"/>
    </xf>
    <xf numFmtId="0" fontId="30" fillId="0" borderId="0" xfId="0" applyFont="1" applyBorder="1" applyAlignment="1" applyProtection="1">
      <alignment horizontal="left"/>
    </xf>
    <xf numFmtId="0" fontId="30" fillId="0" borderId="3" xfId="0" applyFont="1" applyBorder="1" applyAlignment="1" applyProtection="1">
      <alignment horizontal="left"/>
    </xf>
    <xf numFmtId="0" fontId="30" fillId="7" borderId="0" xfId="0" applyFont="1" applyFill="1" applyBorder="1" applyAlignment="1" applyProtection="1">
      <alignment horizontal="left"/>
    </xf>
    <xf numFmtId="0" fontId="22" fillId="4" borderId="4" xfId="0" applyFont="1" applyFill="1" applyBorder="1" applyProtection="1"/>
    <xf numFmtId="0" fontId="32" fillId="7" borderId="17" xfId="0" applyFont="1" applyFill="1" applyBorder="1" applyAlignment="1" applyProtection="1">
      <alignment horizontal="left"/>
    </xf>
    <xf numFmtId="0" fontId="22" fillId="4" borderId="5" xfId="0" applyFont="1" applyFill="1" applyBorder="1" applyAlignment="1" applyProtection="1">
      <alignment horizontal="left"/>
    </xf>
    <xf numFmtId="0" fontId="22" fillId="0" borderId="0" xfId="0" applyFont="1" applyFill="1" applyBorder="1" applyProtection="1"/>
    <xf numFmtId="14" fontId="22" fillId="0" borderId="0" xfId="0" applyNumberFormat="1" applyFont="1" applyFill="1" applyBorder="1" applyProtection="1"/>
    <xf numFmtId="0" fontId="23" fillId="0" borderId="0" xfId="0" applyFont="1" applyFill="1" applyBorder="1" applyProtection="1"/>
    <xf numFmtId="10" fontId="23" fillId="0" borderId="0" xfId="2" applyNumberFormat="1" applyFont="1" applyFill="1" applyBorder="1" applyProtection="1"/>
    <xf numFmtId="0" fontId="24" fillId="4" borderId="0" xfId="0" applyFont="1" applyFill="1" applyBorder="1" applyAlignment="1" applyProtection="1">
      <alignment vertical="center"/>
    </xf>
    <xf numFmtId="172" fontId="25" fillId="0" borderId="0" xfId="0" applyNumberFormat="1" applyFont="1" applyBorder="1" applyAlignment="1" applyProtection="1"/>
    <xf numFmtId="0" fontId="22" fillId="0" borderId="0" xfId="0" applyFont="1" applyBorder="1" applyAlignment="1" applyProtection="1"/>
    <xf numFmtId="0" fontId="25" fillId="0" borderId="0" xfId="0" applyFont="1" applyAlignment="1" applyProtection="1">
      <alignment wrapText="1"/>
    </xf>
    <xf numFmtId="172" fontId="25" fillId="0" borderId="0" xfId="0" applyNumberFormat="1" applyFont="1" applyBorder="1" applyProtection="1"/>
    <xf numFmtId="0" fontId="25" fillId="14" borderId="0" xfId="0" applyFont="1" applyFill="1" applyProtection="1"/>
    <xf numFmtId="0" fontId="25" fillId="0" borderId="0" xfId="0" applyFont="1" applyProtection="1"/>
    <xf numFmtId="0" fontId="25" fillId="4" borderId="6" xfId="0" applyFont="1" applyFill="1" applyBorder="1" applyAlignment="1" applyProtection="1">
      <alignment horizontal="left" vertical="top" wrapText="1"/>
    </xf>
    <xf numFmtId="0" fontId="25" fillId="4" borderId="7" xfId="0" applyFont="1" applyFill="1" applyBorder="1" applyAlignment="1" applyProtection="1">
      <alignment horizontal="left" vertical="top" wrapText="1"/>
    </xf>
    <xf numFmtId="0" fontId="25" fillId="4" borderId="8" xfId="0" applyFont="1" applyFill="1" applyBorder="1" applyAlignment="1" applyProtection="1">
      <alignment horizontal="left" vertical="top" wrapText="1"/>
    </xf>
    <xf numFmtId="0" fontId="25" fillId="4" borderId="0" xfId="0" applyFont="1" applyFill="1" applyAlignment="1" applyProtection="1">
      <alignment vertical="center" wrapText="1"/>
    </xf>
    <xf numFmtId="0" fontId="25" fillId="4" borderId="0" xfId="0" applyFont="1" applyFill="1" applyAlignment="1" applyProtection="1">
      <alignment horizontal="left" vertical="center" wrapText="1"/>
    </xf>
    <xf numFmtId="9" fontId="25" fillId="0" borderId="0" xfId="2" applyFont="1" applyAlignment="1" applyProtection="1">
      <alignment wrapText="1"/>
    </xf>
    <xf numFmtId="0" fontId="25" fillId="14" borderId="0" xfId="0" applyFont="1" applyFill="1" applyAlignment="1" applyProtection="1">
      <alignment wrapText="1"/>
    </xf>
    <xf numFmtId="0" fontId="25" fillId="14" borderId="0" xfId="0" applyFont="1" applyFill="1" applyAlignment="1" applyProtection="1">
      <alignment horizontal="left" vertical="center" wrapText="1"/>
    </xf>
    <xf numFmtId="9" fontId="25" fillId="14" borderId="0" xfId="2" applyFont="1" applyFill="1" applyAlignment="1" applyProtection="1">
      <alignment wrapText="1"/>
    </xf>
    <xf numFmtId="0" fontId="35" fillId="7" borderId="0" xfId="0" applyFont="1" applyFill="1" applyBorder="1" applyAlignment="1" applyProtection="1">
      <alignment vertical="center" wrapText="1"/>
    </xf>
    <xf numFmtId="172" fontId="23" fillId="5" borderId="3" xfId="3" applyNumberFormat="1" applyFont="1" applyFill="1" applyBorder="1" applyAlignment="1" applyProtection="1">
      <alignment horizontal="center" vertical="center"/>
      <protection locked="0"/>
    </xf>
    <xf numFmtId="167" fontId="26" fillId="8" borderId="3" xfId="1" applyNumberFormat="1" applyFont="1" applyFill="1" applyBorder="1" applyAlignment="1" applyProtection="1">
      <alignment horizontal="center" vertical="center"/>
      <protection locked="0"/>
    </xf>
  </cellXfs>
  <cellStyles count="7">
    <cellStyle name="Incorrecto 2" xfId="6" xr:uid="{79B97927-3519-4615-A324-156F4CC213C8}"/>
    <cellStyle name="Millares" xfId="1" builtinId="3"/>
    <cellStyle name="Moneda" xfId="3" builtinId="4"/>
    <cellStyle name="Normal" xfId="0" builtinId="0"/>
    <cellStyle name="Normal 2" xfId="4" xr:uid="{FD6D354E-4CE0-46EB-920D-89CD880C90D5}"/>
    <cellStyle name="Porcentaje" xfId="2" builtinId="5"/>
    <cellStyle name="Porcentual 2" xfId="5" xr:uid="{3194E45B-B706-4D6C-9024-D7C6D9F3BC65}"/>
  </cellStyles>
  <dxfs count="6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FCE2E3"/>
      <color rgb="FFFEE5E6"/>
      <color rgb="FFF8D5D0"/>
      <color rgb="FFF1D5D0"/>
      <color rgb="FFEDD5D0"/>
      <color rgb="FFF2B8B8"/>
      <color rgb="FFF7D1D1"/>
      <color rgb="FFF0CCCF"/>
      <color rgb="FFF7E5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447428</xdr:colOff>
      <xdr:row>6</xdr:row>
      <xdr:rowOff>107991</xdr:rowOff>
    </xdr:from>
    <xdr:to>
      <xdr:col>11</xdr:col>
      <xdr:colOff>999878</xdr:colOff>
      <xdr:row>9</xdr:row>
      <xdr:rowOff>32731</xdr:rowOff>
    </xdr:to>
    <xdr:pic>
      <xdr:nvPicPr>
        <xdr:cNvPr id="4" name="Imagen 3" descr="Hipotecario | Leasi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3071" y="1178420"/>
          <a:ext cx="552450" cy="4690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170997</xdr:colOff>
      <xdr:row>1</xdr:row>
      <xdr:rowOff>154214</xdr:rowOff>
    </xdr:from>
    <xdr:to>
      <xdr:col>10</xdr:col>
      <xdr:colOff>1524000</xdr:colOff>
      <xdr:row>6</xdr:row>
      <xdr:rowOff>29482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CE3D4886-4173-7C5A-4A71-E23F9BAA9CB0}"/>
            </a:ext>
          </a:extLst>
        </xdr:cNvPr>
        <xdr:cNvGrpSpPr/>
      </xdr:nvGrpSpPr>
      <xdr:grpSpPr>
        <a:xfrm>
          <a:off x="3536497" y="317500"/>
          <a:ext cx="6287860" cy="782411"/>
          <a:chOff x="3368675" y="64427"/>
          <a:chExt cx="6241873" cy="806724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5B5AF162-4B93-4673-ABFB-F03E7A6674FD}"/>
              </a:ext>
            </a:extLst>
          </xdr:cNvPr>
          <xdr:cNvSpPr/>
        </xdr:nvSpPr>
        <xdr:spPr>
          <a:xfrm>
            <a:off x="3368675" y="111193"/>
            <a:ext cx="6241873" cy="714307"/>
          </a:xfrm>
          <a:prstGeom prst="rect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pic>
        <xdr:nvPicPr>
          <xdr:cNvPr id="8" name="Imagen 7" descr="Interfaz de usuario gráfica, Logotipo&#10;&#10;Descripción generada automáticamente">
            <a:extLst>
              <a:ext uri="{FF2B5EF4-FFF2-40B4-BE49-F238E27FC236}">
                <a16:creationId xmlns:a16="http://schemas.microsoft.com/office/drawing/2014/main" id="{244FB283-373D-4061-83D9-5EB5E5DAFAC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364631" y="64427"/>
            <a:ext cx="4483950" cy="806724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2:W193"/>
  <sheetViews>
    <sheetView showGridLines="0" workbookViewId="0">
      <selection activeCell="B4" sqref="B4"/>
    </sheetView>
  </sheetViews>
  <sheetFormatPr baseColWidth="10" defaultRowHeight="14.5" x14ac:dyDescent="0.35"/>
  <cols>
    <col min="1" max="1" width="12" bestFit="1" customWidth="1"/>
    <col min="2" max="2" width="12.54296875" bestFit="1" customWidth="1"/>
    <col min="3" max="3" width="14.54296875" bestFit="1" customWidth="1"/>
    <col min="4" max="5" width="10.54296875" bestFit="1" customWidth="1"/>
    <col min="6" max="6" width="12.54296875" bestFit="1" customWidth="1"/>
    <col min="7" max="7" width="9.81640625" bestFit="1" customWidth="1"/>
    <col min="8" max="8" width="9.81640625" customWidth="1"/>
    <col min="9" max="9" width="1.1796875" style="14" customWidth="1"/>
    <col min="10" max="10" width="12.54296875" bestFit="1" customWidth="1"/>
    <col min="11" max="11" width="130" bestFit="1" customWidth="1"/>
    <col min="12" max="12" width="12.1796875" bestFit="1" customWidth="1"/>
    <col min="13" max="13" width="11.54296875" bestFit="1" customWidth="1"/>
    <col min="14" max="14" width="5.1796875" bestFit="1" customWidth="1"/>
    <col min="15" max="15" width="10.54296875" bestFit="1" customWidth="1"/>
    <col min="16" max="16" width="12.1796875" bestFit="1" customWidth="1"/>
    <col min="17" max="17" width="7.1796875" bestFit="1" customWidth="1"/>
    <col min="18" max="18" width="6.1796875" bestFit="1" customWidth="1"/>
    <col min="19" max="19" width="7.1796875" bestFit="1" customWidth="1"/>
  </cols>
  <sheetData>
    <row r="2" spans="1:23" x14ac:dyDescent="0.35">
      <c r="A2" s="12" t="s">
        <v>0</v>
      </c>
      <c r="K2" s="5"/>
      <c r="L2" s="5"/>
    </row>
    <row r="3" spans="1:23" x14ac:dyDescent="0.35">
      <c r="B3" s="3"/>
      <c r="D3" s="3"/>
      <c r="E3" s="3"/>
      <c r="K3" s="5"/>
    </row>
    <row r="4" spans="1:23" x14ac:dyDescent="0.35">
      <c r="A4" t="s">
        <v>90</v>
      </c>
      <c r="B4" s="3">
        <v>150000000</v>
      </c>
      <c r="J4" s="3"/>
      <c r="K4" s="5"/>
      <c r="P4" s="3"/>
      <c r="Q4" s="4"/>
      <c r="S4" s="2"/>
      <c r="V4" s="3"/>
    </row>
    <row r="5" spans="1:23" x14ac:dyDescent="0.35">
      <c r="A5" t="s">
        <v>91</v>
      </c>
      <c r="B5" s="5">
        <v>180</v>
      </c>
      <c r="C5" s="19">
        <f>+B5/12</f>
        <v>15</v>
      </c>
      <c r="J5" s="2"/>
      <c r="K5" s="5"/>
      <c r="P5" s="5"/>
    </row>
    <row r="6" spans="1:23" x14ac:dyDescent="0.35">
      <c r="A6" t="s">
        <v>93</v>
      </c>
      <c r="B6" s="2">
        <v>0.15</v>
      </c>
      <c r="G6" s="1" t="s">
        <v>97</v>
      </c>
      <c r="H6" s="1"/>
      <c r="I6" s="15"/>
      <c r="J6" s="11">
        <f>+IRR(J12:J192)</f>
        <v>1.3214916919853215E-2</v>
      </c>
      <c r="K6" s="2"/>
      <c r="L6" s="2"/>
      <c r="P6" s="5"/>
    </row>
    <row r="7" spans="1:23" x14ac:dyDescent="0.35">
      <c r="A7" t="s">
        <v>92</v>
      </c>
      <c r="B7" s="4">
        <f>+(1+B6)^(0.0833333333333333)-1</f>
        <v>1.171491691985338E-2</v>
      </c>
      <c r="G7" s="12" t="s">
        <v>98</v>
      </c>
      <c r="H7" s="12"/>
      <c r="I7" s="16"/>
      <c r="J7" s="13">
        <f>+(1+J6)^(12)-1</f>
        <v>0.17062797948925645</v>
      </c>
      <c r="K7" s="5"/>
      <c r="P7" s="5"/>
    </row>
    <row r="8" spans="1:23" x14ac:dyDescent="0.35">
      <c r="A8" t="s">
        <v>1</v>
      </c>
      <c r="B8" s="5">
        <v>1500</v>
      </c>
      <c r="C8" t="s">
        <v>94</v>
      </c>
      <c r="P8" s="5"/>
    </row>
    <row r="9" spans="1:23" x14ac:dyDescent="0.35">
      <c r="B9" s="4"/>
      <c r="P9" s="5"/>
    </row>
    <row r="10" spans="1:23" x14ac:dyDescent="0.35">
      <c r="C10" s="9" t="s">
        <v>2</v>
      </c>
      <c r="D10" s="9" t="s">
        <v>3</v>
      </c>
      <c r="E10" s="9" t="s">
        <v>4</v>
      </c>
      <c r="F10" s="9" t="s">
        <v>5</v>
      </c>
      <c r="G10" s="9" t="s">
        <v>206</v>
      </c>
      <c r="H10" s="9"/>
      <c r="I10" s="17"/>
      <c r="J10" s="9" t="s">
        <v>96</v>
      </c>
    </row>
    <row r="11" spans="1:23" x14ac:dyDescent="0.35">
      <c r="B11" s="6"/>
      <c r="F11" s="5"/>
      <c r="P11" s="6"/>
      <c r="T11" s="5"/>
    </row>
    <row r="12" spans="1:23" x14ac:dyDescent="0.35">
      <c r="B12" s="8">
        <v>0</v>
      </c>
      <c r="C12" s="7">
        <v>0</v>
      </c>
      <c r="D12" s="3"/>
      <c r="E12" s="5"/>
      <c r="F12" s="5">
        <f>+B4</f>
        <v>150000000</v>
      </c>
      <c r="G12" s="3"/>
      <c r="H12" s="3"/>
      <c r="I12" s="18"/>
      <c r="J12" s="3">
        <f>+F12</f>
        <v>150000000</v>
      </c>
      <c r="M12" s="5"/>
      <c r="O12" s="5"/>
      <c r="P12" s="6"/>
      <c r="Q12" s="7"/>
      <c r="R12" s="3"/>
      <c r="S12" s="5"/>
      <c r="T12" s="5"/>
      <c r="U12" s="3"/>
      <c r="V12" s="3"/>
      <c r="W12" s="5"/>
    </row>
    <row r="13" spans="1:23" x14ac:dyDescent="0.35">
      <c r="B13" s="6" t="s">
        <v>6</v>
      </c>
      <c r="C13" s="7">
        <f>+PMT(B7,B5,B4)</f>
        <v>-2003450.5636296037</v>
      </c>
      <c r="D13" s="3">
        <f t="shared" ref="D13:D44" si="0">+F12*$B$7</f>
        <v>1757237.537978007</v>
      </c>
      <c r="E13" s="5">
        <f t="shared" ref="E13:E76" si="1">+-C13-D13</f>
        <v>246213.02565159672</v>
      </c>
      <c r="F13" s="5">
        <f t="shared" ref="F13:F76" si="2">+F12-E13</f>
        <v>149753786.9743484</v>
      </c>
      <c r="G13" s="3">
        <f t="shared" ref="G13:G44" si="3">+-F12/1000000*$B$8</f>
        <v>-225000</v>
      </c>
      <c r="H13" s="3"/>
      <c r="I13" s="18"/>
      <c r="J13" s="10">
        <f t="shared" ref="J13:J76" si="4">+C13+G13</f>
        <v>-2228450.5636296039</v>
      </c>
      <c r="M13" s="3"/>
      <c r="O13" s="3"/>
      <c r="P13" s="6"/>
      <c r="Q13" s="7"/>
      <c r="R13" s="3"/>
      <c r="S13" s="5"/>
      <c r="T13" s="5"/>
      <c r="U13" s="3"/>
      <c r="V13" s="3"/>
      <c r="W13" s="5"/>
    </row>
    <row r="14" spans="1:23" x14ac:dyDescent="0.35">
      <c r="B14" s="6" t="s">
        <v>7</v>
      </c>
      <c r="C14" s="7">
        <f t="shared" ref="C14:C77" si="5">+C13</f>
        <v>-2003450.5636296037</v>
      </c>
      <c r="D14" s="3">
        <f t="shared" si="0"/>
        <v>1754353.1728379128</v>
      </c>
      <c r="E14" s="5">
        <f t="shared" si="1"/>
        <v>249097.39079169091</v>
      </c>
      <c r="F14" s="5">
        <f t="shared" si="2"/>
        <v>149504689.58355671</v>
      </c>
      <c r="G14" s="3">
        <f t="shared" si="3"/>
        <v>-224630.6804615226</v>
      </c>
      <c r="H14" s="3"/>
      <c r="I14" s="18"/>
      <c r="J14" s="10">
        <f t="shared" si="4"/>
        <v>-2228081.2440911261</v>
      </c>
      <c r="O14" s="3"/>
      <c r="P14" s="6"/>
      <c r="Q14" s="7"/>
      <c r="R14" s="3"/>
      <c r="S14" s="5"/>
      <c r="T14" s="5"/>
      <c r="U14" s="3"/>
      <c r="V14" s="3"/>
      <c r="W14" s="5"/>
    </row>
    <row r="15" spans="1:23" x14ac:dyDescent="0.35">
      <c r="B15" s="6" t="s">
        <v>8</v>
      </c>
      <c r="C15" s="7">
        <f t="shared" si="5"/>
        <v>-2003450.5636296037</v>
      </c>
      <c r="D15" s="3">
        <f t="shared" si="0"/>
        <v>1751435.0175998358</v>
      </c>
      <c r="E15" s="5">
        <f t="shared" si="1"/>
        <v>252015.54602976795</v>
      </c>
      <c r="F15" s="5">
        <f t="shared" si="2"/>
        <v>149252674.03752694</v>
      </c>
      <c r="G15" s="3">
        <f t="shared" si="3"/>
        <v>-224257.03437533506</v>
      </c>
      <c r="H15" s="3"/>
      <c r="I15" s="18"/>
      <c r="J15" s="10">
        <f t="shared" si="4"/>
        <v>-2227707.5980049386</v>
      </c>
      <c r="O15" s="3"/>
      <c r="P15" s="6"/>
      <c r="Q15" s="7"/>
      <c r="R15" s="3"/>
      <c r="S15" s="5"/>
      <c r="T15" s="5"/>
      <c r="U15" s="3"/>
      <c r="V15" s="3"/>
      <c r="W15" s="5"/>
    </row>
    <row r="16" spans="1:23" x14ac:dyDescent="0.35">
      <c r="B16" s="6" t="s">
        <v>9</v>
      </c>
      <c r="C16" s="7">
        <f t="shared" si="5"/>
        <v>-2003450.5636296037</v>
      </c>
      <c r="D16" s="3">
        <f t="shared" si="0"/>
        <v>1748482.6764155854</v>
      </c>
      <c r="E16" s="5">
        <f t="shared" si="1"/>
        <v>254967.88721401826</v>
      </c>
      <c r="F16" s="5">
        <f t="shared" si="2"/>
        <v>148997706.15031293</v>
      </c>
      <c r="G16" s="3">
        <f t="shared" si="3"/>
        <v>-223879.01105629039</v>
      </c>
      <c r="H16" s="3"/>
      <c r="I16" s="18"/>
      <c r="J16" s="10">
        <f t="shared" si="4"/>
        <v>-2227329.574685894</v>
      </c>
      <c r="P16" s="6"/>
      <c r="Q16" s="7"/>
      <c r="R16" s="3"/>
      <c r="S16" s="5"/>
      <c r="T16" s="5"/>
      <c r="U16" s="3"/>
      <c r="V16" s="3"/>
      <c r="W16" s="5"/>
    </row>
    <row r="17" spans="2:23" x14ac:dyDescent="0.35">
      <c r="B17" s="6" t="s">
        <v>10</v>
      </c>
      <c r="C17" s="7">
        <f t="shared" si="5"/>
        <v>-2003450.5636296037</v>
      </c>
      <c r="D17" s="3">
        <f t="shared" si="0"/>
        <v>1745495.748799643</v>
      </c>
      <c r="E17" s="5">
        <f t="shared" si="1"/>
        <v>257954.8148299607</v>
      </c>
      <c r="F17" s="5">
        <f t="shared" si="2"/>
        <v>148739751.33548295</v>
      </c>
      <c r="G17" s="3">
        <f t="shared" si="3"/>
        <v>-223496.55922546939</v>
      </c>
      <c r="H17" s="3"/>
      <c r="I17" s="18"/>
      <c r="J17" s="10">
        <f t="shared" si="4"/>
        <v>-2226947.1228550733</v>
      </c>
      <c r="P17" s="6"/>
      <c r="Q17" s="7"/>
      <c r="R17" s="3"/>
      <c r="S17" s="5"/>
      <c r="T17" s="5"/>
      <c r="U17" s="3"/>
      <c r="V17" s="3"/>
      <c r="W17" s="5"/>
    </row>
    <row r="18" spans="2:23" x14ac:dyDescent="0.35">
      <c r="B18" s="6" t="s">
        <v>11</v>
      </c>
      <c r="C18" s="7">
        <f t="shared" si="5"/>
        <v>-2003450.5636296037</v>
      </c>
      <c r="D18" s="3">
        <f t="shared" si="0"/>
        <v>1742473.8295748336</v>
      </c>
      <c r="E18" s="5">
        <f t="shared" si="1"/>
        <v>260976.73405477009</v>
      </c>
      <c r="F18" s="5">
        <f t="shared" si="2"/>
        <v>148478774.60142818</v>
      </c>
      <c r="G18" s="3">
        <f t="shared" si="3"/>
        <v>-223109.62700322445</v>
      </c>
      <c r="H18" s="3"/>
      <c r="I18" s="18"/>
      <c r="J18" s="10">
        <f t="shared" si="4"/>
        <v>-2226560.190632828</v>
      </c>
      <c r="K18" s="5"/>
      <c r="P18" s="6"/>
      <c r="Q18" s="7"/>
      <c r="R18" s="3"/>
      <c r="S18" s="5"/>
      <c r="T18" s="5"/>
      <c r="U18" s="3"/>
      <c r="V18" s="3"/>
      <c r="W18" s="5"/>
    </row>
    <row r="19" spans="2:23" x14ac:dyDescent="0.35">
      <c r="B19" s="6" t="s">
        <v>12</v>
      </c>
      <c r="C19" s="7">
        <f t="shared" si="5"/>
        <v>-2003450.5636296037</v>
      </c>
      <c r="D19" s="3">
        <f t="shared" si="0"/>
        <v>1739416.5088173673</v>
      </c>
      <c r="E19" s="5">
        <f t="shared" si="1"/>
        <v>264034.05481223646</v>
      </c>
      <c r="F19" s="5">
        <f t="shared" si="2"/>
        <v>148214740.54661596</v>
      </c>
      <c r="G19" s="3">
        <f t="shared" si="3"/>
        <v>-222718.16190214225</v>
      </c>
      <c r="H19" s="3"/>
      <c r="I19" s="18"/>
      <c r="J19" s="10">
        <f t="shared" si="4"/>
        <v>-2226168.7255317462</v>
      </c>
      <c r="K19" s="5"/>
      <c r="P19" s="6"/>
      <c r="Q19" s="7"/>
      <c r="R19" s="3"/>
      <c r="S19" s="5"/>
      <c r="T19" s="5"/>
      <c r="U19" s="3"/>
      <c r="V19" s="3"/>
      <c r="W19" s="5"/>
    </row>
    <row r="20" spans="2:23" x14ac:dyDescent="0.35">
      <c r="B20" s="6" t="s">
        <v>13</v>
      </c>
      <c r="C20" s="7">
        <f t="shared" si="5"/>
        <v>-2003450.5636296037</v>
      </c>
      <c r="D20" s="3">
        <f t="shared" si="0"/>
        <v>1736323.3718012301</v>
      </c>
      <c r="E20" s="5">
        <f t="shared" si="1"/>
        <v>267127.19182837359</v>
      </c>
      <c r="F20" s="5">
        <f t="shared" si="2"/>
        <v>147947613.35478759</v>
      </c>
      <c r="G20" s="3">
        <f t="shared" si="3"/>
        <v>-222322.11081992392</v>
      </c>
      <c r="H20" s="3"/>
      <c r="I20" s="18"/>
      <c r="J20" s="10">
        <f t="shared" si="4"/>
        <v>-2225772.6744495276</v>
      </c>
      <c r="K20" s="5"/>
      <c r="P20" s="6"/>
      <c r="Q20" s="7"/>
      <c r="R20" s="3"/>
      <c r="S20" s="5"/>
      <c r="T20" s="5"/>
      <c r="U20" s="3"/>
      <c r="V20" s="3"/>
      <c r="W20" s="5"/>
    </row>
    <row r="21" spans="2:23" x14ac:dyDescent="0.35">
      <c r="B21" s="6" t="s">
        <v>14</v>
      </c>
      <c r="C21" s="7">
        <f t="shared" si="5"/>
        <v>-2003450.5636296037</v>
      </c>
      <c r="D21" s="3">
        <f t="shared" si="0"/>
        <v>1733193.998941927</v>
      </c>
      <c r="E21" s="5">
        <f t="shared" si="1"/>
        <v>270256.56468767673</v>
      </c>
      <c r="F21" s="5">
        <f t="shared" si="2"/>
        <v>147677356.79009992</v>
      </c>
      <c r="G21" s="3">
        <f t="shared" si="3"/>
        <v>-221921.4200321814</v>
      </c>
      <c r="H21" s="3"/>
      <c r="I21" s="18"/>
      <c r="J21" s="10">
        <f t="shared" si="4"/>
        <v>-2225371.9836617853</v>
      </c>
      <c r="K21" s="6" t="s">
        <v>109</v>
      </c>
      <c r="Q21" s="7"/>
      <c r="R21" s="3"/>
      <c r="S21" s="5"/>
      <c r="T21" s="5"/>
      <c r="U21" s="3"/>
      <c r="V21" s="3"/>
      <c r="W21" s="5"/>
    </row>
    <row r="22" spans="2:23" x14ac:dyDescent="0.35">
      <c r="B22" s="6" t="s">
        <v>15</v>
      </c>
      <c r="C22" s="7">
        <f t="shared" si="5"/>
        <v>-2003450.5636296037</v>
      </c>
      <c r="D22" s="3">
        <f t="shared" si="0"/>
        <v>1730027.9657395659</v>
      </c>
      <c r="E22" s="5">
        <f t="shared" si="1"/>
        <v>273422.59789003781</v>
      </c>
      <c r="F22" s="5">
        <f t="shared" si="2"/>
        <v>147403934.19220987</v>
      </c>
      <c r="G22" s="3">
        <f t="shared" si="3"/>
        <v>-221516.03518514987</v>
      </c>
      <c r="H22" s="3"/>
      <c r="I22" s="18"/>
      <c r="J22" s="10">
        <f t="shared" si="4"/>
        <v>-2224966.5988147538</v>
      </c>
      <c r="K22" s="5"/>
      <c r="P22" s="6"/>
      <c r="Q22" s="7"/>
      <c r="R22" s="3"/>
      <c r="S22" s="5"/>
      <c r="T22" s="5"/>
      <c r="U22" s="3"/>
      <c r="V22" s="3"/>
      <c r="W22" s="5"/>
    </row>
    <row r="23" spans="2:23" x14ac:dyDescent="0.35">
      <c r="B23" s="6" t="s">
        <v>16</v>
      </c>
      <c r="C23" s="7">
        <f t="shared" si="5"/>
        <v>-2003450.5636296037</v>
      </c>
      <c r="D23" s="3">
        <f t="shared" si="0"/>
        <v>1726824.8427212734</v>
      </c>
      <c r="E23" s="5">
        <f t="shared" si="1"/>
        <v>276625.72090833029</v>
      </c>
      <c r="F23" s="5">
        <f t="shared" si="2"/>
        <v>147127308.47130153</v>
      </c>
      <c r="G23" s="3">
        <f t="shared" si="3"/>
        <v>-221105.90128831481</v>
      </c>
      <c r="H23" s="3"/>
      <c r="I23" s="18"/>
      <c r="J23" s="10">
        <f t="shared" si="4"/>
        <v>-2224556.4649179187</v>
      </c>
      <c r="K23" s="5"/>
      <c r="P23" s="6" t="s">
        <v>99</v>
      </c>
      <c r="Q23" s="7"/>
      <c r="R23" s="3"/>
      <c r="S23" s="5"/>
      <c r="T23" s="5"/>
      <c r="U23" s="3"/>
      <c r="V23" s="3"/>
      <c r="W23" s="5"/>
    </row>
    <row r="24" spans="2:23" x14ac:dyDescent="0.35">
      <c r="B24" s="6" t="s">
        <v>17</v>
      </c>
      <c r="C24" s="7">
        <f t="shared" si="5"/>
        <v>-2003450.5636296037</v>
      </c>
      <c r="D24" s="3">
        <f t="shared" si="0"/>
        <v>1723584.1953829378</v>
      </c>
      <c r="E24" s="5">
        <f t="shared" si="1"/>
        <v>279866.36824666592</v>
      </c>
      <c r="F24" s="5">
        <f t="shared" si="2"/>
        <v>146847442.10305485</v>
      </c>
      <c r="G24" s="3">
        <f t="shared" si="3"/>
        <v>-220690.96270695227</v>
      </c>
      <c r="H24" s="3"/>
      <c r="I24" s="18"/>
      <c r="J24" s="10">
        <f t="shared" si="4"/>
        <v>-2224141.5263365558</v>
      </c>
      <c r="K24" s="5">
        <f>+AVERAGE(F12:F23)</f>
        <v>148591528.00313923</v>
      </c>
      <c r="L24" s="5">
        <f>+SUM(J13:J24)</f>
        <v>-26716054.267611753</v>
      </c>
      <c r="M24" s="5">
        <f>+SUM(D13:D24)</f>
        <v>20888848.866610117</v>
      </c>
      <c r="N24" s="5">
        <f>+-SUM(G13:G24)</f>
        <v>2674647.5040565059</v>
      </c>
      <c r="O24" s="5">
        <f>+SUM(E13:E24)</f>
        <v>3152557.8969451254</v>
      </c>
      <c r="P24" s="5">
        <f>+N24+M24</f>
        <v>23563496.370666623</v>
      </c>
      <c r="Q24" s="2">
        <f>+P24/K24</f>
        <v>0.15857900303824057</v>
      </c>
      <c r="R24" s="2">
        <f>+Q24/12</f>
        <v>1.3214916919853381E-2</v>
      </c>
      <c r="S24" s="13">
        <f>+(1+R24)^(12)-1</f>
        <v>0.17062797948925956</v>
      </c>
      <c r="T24" s="5"/>
      <c r="U24" s="3"/>
      <c r="V24" s="3"/>
      <c r="W24" s="5"/>
    </row>
    <row r="25" spans="2:23" x14ac:dyDescent="0.35">
      <c r="B25" s="6" t="s">
        <v>18</v>
      </c>
      <c r="C25" s="7">
        <f t="shared" si="5"/>
        <v>-2003450.5636296037</v>
      </c>
      <c r="D25" s="3">
        <f t="shared" si="0"/>
        <v>1720305.5841302669</v>
      </c>
      <c r="E25" s="5">
        <f t="shared" si="1"/>
        <v>283144.9794993368</v>
      </c>
      <c r="F25" s="5">
        <f t="shared" si="2"/>
        <v>146564297.12355551</v>
      </c>
      <c r="G25" s="3">
        <f t="shared" si="3"/>
        <v>-220271.16315458226</v>
      </c>
      <c r="H25" s="3"/>
      <c r="I25" s="18"/>
      <c r="J25" s="10">
        <f t="shared" si="4"/>
        <v>-2223721.726784186</v>
      </c>
      <c r="K25" s="5"/>
      <c r="P25" s="6"/>
      <c r="Q25" s="7"/>
      <c r="R25" s="3"/>
      <c r="S25" s="5"/>
      <c r="T25" s="5"/>
      <c r="U25" s="3"/>
      <c r="V25" s="3"/>
      <c r="W25" s="5"/>
    </row>
    <row r="26" spans="2:23" x14ac:dyDescent="0.35">
      <c r="B26" s="6" t="s">
        <v>19</v>
      </c>
      <c r="C26" s="7">
        <f t="shared" si="5"/>
        <v>-2003450.5636296037</v>
      </c>
      <c r="D26" s="3">
        <f t="shared" si="0"/>
        <v>1716988.5642191586</v>
      </c>
      <c r="E26" s="5">
        <f t="shared" si="1"/>
        <v>286461.9994104451</v>
      </c>
      <c r="F26" s="5">
        <f t="shared" si="2"/>
        <v>146277835.12414506</v>
      </c>
      <c r="G26" s="3">
        <f t="shared" si="3"/>
        <v>-219846.44568533328</v>
      </c>
      <c r="H26" s="3"/>
      <c r="I26" s="18"/>
      <c r="J26" s="10">
        <f t="shared" si="4"/>
        <v>-2223297.0093149371</v>
      </c>
      <c r="K26" s="5"/>
      <c r="P26" s="6"/>
      <c r="Q26" s="7"/>
      <c r="R26" s="3"/>
      <c r="S26" s="5"/>
      <c r="T26" s="5"/>
      <c r="U26" s="3"/>
      <c r="V26" s="3"/>
      <c r="W26" s="5"/>
    </row>
    <row r="27" spans="2:23" x14ac:dyDescent="0.35">
      <c r="B27" s="6" t="s">
        <v>20</v>
      </c>
      <c r="C27" s="7">
        <f t="shared" si="5"/>
        <v>-2003450.5636296037</v>
      </c>
      <c r="D27" s="3">
        <f t="shared" si="0"/>
        <v>1713632.68569537</v>
      </c>
      <c r="E27" s="5">
        <f t="shared" si="1"/>
        <v>289817.87793423375</v>
      </c>
      <c r="F27" s="5">
        <f t="shared" si="2"/>
        <v>145988017.24621081</v>
      </c>
      <c r="G27" s="3">
        <f t="shared" si="3"/>
        <v>-219416.7526862176</v>
      </c>
      <c r="H27" s="3"/>
      <c r="I27" s="18"/>
      <c r="J27" s="10">
        <f t="shared" si="4"/>
        <v>-2222867.3163158214</v>
      </c>
      <c r="K27" s="5"/>
      <c r="P27" s="6"/>
      <c r="Q27" s="7"/>
      <c r="R27" s="3"/>
      <c r="S27" s="5"/>
      <c r="T27" s="5"/>
      <c r="U27" s="3"/>
      <c r="V27" s="3"/>
      <c r="W27" s="5"/>
    </row>
    <row r="28" spans="2:23" x14ac:dyDescent="0.35">
      <c r="B28" s="6" t="s">
        <v>21</v>
      </c>
      <c r="C28" s="7">
        <f t="shared" si="5"/>
        <v>-2003450.5636296037</v>
      </c>
      <c r="D28" s="3">
        <f t="shared" si="0"/>
        <v>1710237.4933334822</v>
      </c>
      <c r="E28" s="5">
        <f t="shared" si="1"/>
        <v>293213.07029612153</v>
      </c>
      <c r="F28" s="5">
        <f t="shared" si="2"/>
        <v>145694804.1759147</v>
      </c>
      <c r="G28" s="3">
        <f t="shared" si="3"/>
        <v>-218982.02586931619</v>
      </c>
      <c r="H28" s="3"/>
      <c r="I28" s="18"/>
      <c r="J28" s="10">
        <f t="shared" si="4"/>
        <v>-2222432.5894989199</v>
      </c>
      <c r="K28" s="5"/>
      <c r="P28" s="6"/>
      <c r="Q28" s="7"/>
      <c r="R28" s="3"/>
      <c r="S28" s="5"/>
      <c r="T28" s="5"/>
      <c r="U28" s="3"/>
      <c r="V28" s="3"/>
      <c r="W28" s="5"/>
    </row>
    <row r="29" spans="2:23" x14ac:dyDescent="0.35">
      <c r="B29" s="6" t="s">
        <v>22</v>
      </c>
      <c r="C29" s="7">
        <f t="shared" si="5"/>
        <v>-2003450.5636296037</v>
      </c>
      <c r="D29" s="3">
        <f t="shared" si="0"/>
        <v>1706802.5265751481</v>
      </c>
      <c r="E29" s="5">
        <f t="shared" si="1"/>
        <v>296648.03705445561</v>
      </c>
      <c r="F29" s="5">
        <f t="shared" si="2"/>
        <v>145398156.13886026</v>
      </c>
      <c r="G29" s="3">
        <f t="shared" si="3"/>
        <v>-218542.20626387204</v>
      </c>
      <c r="H29" s="3"/>
      <c r="I29" s="18"/>
      <c r="J29" s="10">
        <f t="shared" si="4"/>
        <v>-2221992.7698934758</v>
      </c>
      <c r="K29" s="5"/>
      <c r="P29" s="6"/>
      <c r="Q29" s="7"/>
      <c r="R29" s="3"/>
      <c r="S29" s="5"/>
      <c r="T29" s="5"/>
      <c r="U29" s="3"/>
      <c r="V29" s="3"/>
      <c r="W29" s="5"/>
    </row>
    <row r="30" spans="2:23" x14ac:dyDescent="0.35">
      <c r="B30" s="6" t="s">
        <v>23</v>
      </c>
      <c r="C30" s="7">
        <f t="shared" si="5"/>
        <v>-2003450.5636296037</v>
      </c>
      <c r="D30" s="3">
        <f t="shared" si="0"/>
        <v>1703327.3194666177</v>
      </c>
      <c r="E30" s="5">
        <f t="shared" si="1"/>
        <v>300123.24416298606</v>
      </c>
      <c r="F30" s="5">
        <f t="shared" si="2"/>
        <v>145098032.89469728</v>
      </c>
      <c r="G30" s="3">
        <f t="shared" si="3"/>
        <v>-218097.23420829038</v>
      </c>
      <c r="H30" s="3"/>
      <c r="I30" s="18"/>
      <c r="J30" s="10">
        <f t="shared" si="4"/>
        <v>-2221547.7978378939</v>
      </c>
      <c r="K30" s="5"/>
      <c r="P30" s="6"/>
      <c r="Q30" s="7"/>
      <c r="R30" s="3"/>
      <c r="S30" s="5"/>
      <c r="T30" s="5"/>
      <c r="U30" s="3"/>
      <c r="V30" s="3"/>
      <c r="W30" s="5"/>
    </row>
    <row r="31" spans="2:23" x14ac:dyDescent="0.35">
      <c r="B31" s="6" t="s">
        <v>24</v>
      </c>
      <c r="C31" s="7">
        <f t="shared" si="5"/>
        <v>-2003450.5636296037</v>
      </c>
      <c r="D31" s="3">
        <f t="shared" si="0"/>
        <v>1699811.4005955313</v>
      </c>
      <c r="E31" s="5">
        <f t="shared" si="1"/>
        <v>303639.16303407238</v>
      </c>
      <c r="F31" s="5">
        <f t="shared" si="2"/>
        <v>144794393.7316632</v>
      </c>
      <c r="G31" s="3">
        <f t="shared" si="3"/>
        <v>-217647.04934204591</v>
      </c>
      <c r="H31" s="3"/>
      <c r="I31" s="18"/>
      <c r="J31" s="10">
        <f t="shared" si="4"/>
        <v>-2221097.6129716495</v>
      </c>
      <c r="K31" s="5"/>
      <c r="P31" s="6"/>
      <c r="Q31" s="7"/>
      <c r="R31" s="3"/>
      <c r="S31" s="5"/>
      <c r="T31" s="5"/>
      <c r="U31" s="3"/>
      <c r="V31" s="3"/>
      <c r="W31" s="5"/>
    </row>
    <row r="32" spans="2:23" x14ac:dyDescent="0.35">
      <c r="B32" s="6" t="s">
        <v>25</v>
      </c>
      <c r="C32" s="7">
        <f t="shared" si="5"/>
        <v>-2003450.5636296037</v>
      </c>
      <c r="D32" s="3">
        <f t="shared" si="0"/>
        <v>1696254.2930269733</v>
      </c>
      <c r="E32" s="5">
        <f t="shared" si="1"/>
        <v>307196.27060263045</v>
      </c>
      <c r="F32" s="5">
        <f t="shared" si="2"/>
        <v>144487197.46106055</v>
      </c>
      <c r="G32" s="3">
        <f t="shared" si="3"/>
        <v>-217191.5905974948</v>
      </c>
      <c r="H32" s="3"/>
      <c r="I32" s="18"/>
      <c r="J32" s="10">
        <f t="shared" si="4"/>
        <v>-2220642.1542270985</v>
      </c>
      <c r="K32" s="5"/>
      <c r="P32" s="6"/>
      <c r="Q32" s="7"/>
      <c r="R32" s="3"/>
      <c r="S32" s="5"/>
      <c r="T32" s="5"/>
      <c r="U32" s="3"/>
      <c r="V32" s="3"/>
      <c r="W32" s="5"/>
    </row>
    <row r="33" spans="2:23" x14ac:dyDescent="0.35">
      <c r="B33" s="6" t="s">
        <v>26</v>
      </c>
      <c r="C33" s="7">
        <f t="shared" si="5"/>
        <v>-2003450.5636296037</v>
      </c>
      <c r="D33" s="3">
        <f t="shared" si="0"/>
        <v>1692655.5142387745</v>
      </c>
      <c r="E33" s="5">
        <f t="shared" si="1"/>
        <v>310795.04939082917</v>
      </c>
      <c r="F33" s="5">
        <f t="shared" si="2"/>
        <v>144176402.41166973</v>
      </c>
      <c r="G33" s="3">
        <f t="shared" si="3"/>
        <v>-216730.79619159084</v>
      </c>
      <c r="H33" s="3"/>
      <c r="I33" s="18"/>
      <c r="J33" s="10">
        <f t="shared" si="4"/>
        <v>-2220181.3598211948</v>
      </c>
      <c r="K33" s="5"/>
      <c r="P33" s="6"/>
      <c r="Q33" s="7"/>
      <c r="R33" s="3"/>
      <c r="S33" s="5"/>
      <c r="T33" s="5"/>
      <c r="U33" s="3"/>
      <c r="V33" s="3"/>
      <c r="W33" s="5"/>
    </row>
    <row r="34" spans="2:23" x14ac:dyDescent="0.35">
      <c r="B34" s="6" t="s">
        <v>27</v>
      </c>
      <c r="C34" s="7">
        <f t="shared" si="5"/>
        <v>-2003450.5636296037</v>
      </c>
      <c r="D34" s="3">
        <f t="shared" si="0"/>
        <v>1689014.5760560594</v>
      </c>
      <c r="E34" s="5">
        <f t="shared" si="1"/>
        <v>314435.98757354426</v>
      </c>
      <c r="F34" s="5">
        <f t="shared" si="2"/>
        <v>143861966.4240962</v>
      </c>
      <c r="G34" s="3">
        <f t="shared" si="3"/>
        <v>-216264.60361750459</v>
      </c>
      <c r="H34" s="3"/>
      <c r="I34" s="18"/>
      <c r="J34" s="10">
        <f t="shared" si="4"/>
        <v>-2219715.1672471082</v>
      </c>
      <c r="K34" s="5"/>
      <c r="P34" s="6"/>
      <c r="Q34" s="7"/>
      <c r="R34" s="3"/>
      <c r="S34" s="5"/>
      <c r="T34" s="5"/>
      <c r="U34" s="3"/>
      <c r="V34" s="3"/>
      <c r="W34" s="5"/>
    </row>
    <row r="35" spans="2:23" x14ac:dyDescent="0.35">
      <c r="B35" s="6" t="s">
        <v>28</v>
      </c>
      <c r="C35" s="7">
        <f t="shared" si="5"/>
        <v>-2003450.5636296037</v>
      </c>
      <c r="D35" s="3">
        <f t="shared" si="0"/>
        <v>1685330.9845850233</v>
      </c>
      <c r="E35" s="5">
        <f t="shared" si="1"/>
        <v>318119.57904458046</v>
      </c>
      <c r="F35" s="5">
        <f t="shared" si="2"/>
        <v>143543846.84505162</v>
      </c>
      <c r="G35" s="3">
        <f t="shared" si="3"/>
        <v>-215792.9496361443</v>
      </c>
      <c r="H35" s="3"/>
      <c r="I35" s="18"/>
      <c r="J35" s="10">
        <f t="shared" si="4"/>
        <v>-2219243.513265748</v>
      </c>
      <c r="K35" s="5"/>
      <c r="P35" s="6" t="s">
        <v>99</v>
      </c>
      <c r="Q35" s="7"/>
      <c r="R35" s="3"/>
      <c r="S35" s="5"/>
      <c r="T35" s="5"/>
      <c r="U35" s="3"/>
      <c r="V35" s="3"/>
      <c r="W35" s="5"/>
    </row>
    <row r="36" spans="2:23" x14ac:dyDescent="0.35">
      <c r="B36" s="6" t="s">
        <v>29</v>
      </c>
      <c r="C36" s="7">
        <f t="shared" si="5"/>
        <v>-2003450.5636296037</v>
      </c>
      <c r="D36" s="3">
        <f t="shared" si="0"/>
        <v>1681604.2401459373</v>
      </c>
      <c r="E36" s="5">
        <f t="shared" si="1"/>
        <v>321846.32348366641</v>
      </c>
      <c r="F36" s="5">
        <f t="shared" si="2"/>
        <v>143222000.52156794</v>
      </c>
      <c r="G36" s="3">
        <f t="shared" si="3"/>
        <v>-215315.77026757741</v>
      </c>
      <c r="H36" s="3"/>
      <c r="I36" s="18"/>
      <c r="J36" s="10">
        <f t="shared" si="4"/>
        <v>-2218766.3338971813</v>
      </c>
      <c r="K36" s="5">
        <f>+AVERAGE(F24:F35)</f>
        <v>145227699.30666497</v>
      </c>
      <c r="L36" s="5">
        <f>+SUM(J25:J36)</f>
        <v>-26655505.351075213</v>
      </c>
      <c r="M36" s="5">
        <f>+SUM(D25:D36)</f>
        <v>20415965.18206834</v>
      </c>
      <c r="N36" s="5">
        <f>+-SUM(G25:G36)</f>
        <v>2614098.5875199693</v>
      </c>
      <c r="O36" s="5">
        <f>+SUM(E25:E36)</f>
        <v>3625441.5814869022</v>
      </c>
      <c r="P36" s="5">
        <f>+N36+M36</f>
        <v>23030063.76958831</v>
      </c>
      <c r="Q36" s="2">
        <f>+P36/K36</f>
        <v>0.15857900303824055</v>
      </c>
      <c r="R36" s="2">
        <f>+Q36/12</f>
        <v>1.3214916919853379E-2</v>
      </c>
      <c r="S36" s="13">
        <f>+(1+R36)^(12)-1</f>
        <v>0.17062797948925956</v>
      </c>
      <c r="T36" s="5"/>
      <c r="U36" s="3"/>
      <c r="V36" s="3"/>
      <c r="W36" s="5"/>
    </row>
    <row r="37" spans="2:23" x14ac:dyDescent="0.35">
      <c r="B37" s="6" t="s">
        <v>30</v>
      </c>
      <c r="C37" s="7">
        <f t="shared" si="5"/>
        <v>-2003450.5636296037</v>
      </c>
      <c r="D37" s="3">
        <f t="shared" si="0"/>
        <v>1677833.8372053658</v>
      </c>
      <c r="E37" s="5">
        <f t="shared" si="1"/>
        <v>325616.72642423795</v>
      </c>
      <c r="F37" s="5">
        <f t="shared" si="2"/>
        <v>142896383.79514369</v>
      </c>
      <c r="G37" s="3">
        <f t="shared" si="3"/>
        <v>-214833.00078235191</v>
      </c>
      <c r="H37" s="3"/>
      <c r="I37" s="18"/>
      <c r="J37" s="10">
        <f t="shared" si="4"/>
        <v>-2218283.5644119554</v>
      </c>
      <c r="K37" s="5"/>
      <c r="P37" s="6"/>
      <c r="Q37" s="7"/>
      <c r="R37" s="3"/>
      <c r="S37" s="5"/>
      <c r="T37" s="5"/>
      <c r="U37" s="3"/>
      <c r="V37" s="3"/>
      <c r="W37" s="5"/>
    </row>
    <row r="38" spans="2:23" x14ac:dyDescent="0.35">
      <c r="B38" s="6" t="s">
        <v>31</v>
      </c>
      <c r="C38" s="7">
        <f t="shared" si="5"/>
        <v>-2003450.5636296037</v>
      </c>
      <c r="D38" s="3">
        <f t="shared" si="0"/>
        <v>1674019.2643075911</v>
      </c>
      <c r="E38" s="5">
        <f t="shared" si="1"/>
        <v>329431.29932201258</v>
      </c>
      <c r="F38" s="5">
        <f t="shared" si="2"/>
        <v>142566952.49582168</v>
      </c>
      <c r="G38" s="3">
        <f t="shared" si="3"/>
        <v>-214344.57569271553</v>
      </c>
      <c r="H38" s="3"/>
      <c r="I38" s="18"/>
      <c r="J38" s="10">
        <f t="shared" si="4"/>
        <v>-2217795.1393223191</v>
      </c>
      <c r="K38" s="5"/>
      <c r="P38" s="6"/>
      <c r="Q38" s="7"/>
      <c r="R38" s="3"/>
      <c r="S38" s="5"/>
      <c r="T38" s="5"/>
      <c r="U38" s="3"/>
      <c r="V38" s="3"/>
      <c r="W38" s="5"/>
    </row>
    <row r="39" spans="2:23" x14ac:dyDescent="0.35">
      <c r="B39" s="6" t="s">
        <v>32</v>
      </c>
      <c r="C39" s="7">
        <f t="shared" si="5"/>
        <v>-2003450.5636296037</v>
      </c>
      <c r="D39" s="3">
        <f t="shared" si="0"/>
        <v>1670160.0040052345</v>
      </c>
      <c r="E39" s="5">
        <f t="shared" si="1"/>
        <v>333290.55962436926</v>
      </c>
      <c r="F39" s="5">
        <f t="shared" si="2"/>
        <v>142233661.93619731</v>
      </c>
      <c r="G39" s="3">
        <f t="shared" si="3"/>
        <v>-213850.42874373251</v>
      </c>
      <c r="H39" s="3"/>
      <c r="I39" s="18"/>
      <c r="J39" s="10">
        <f t="shared" si="4"/>
        <v>-2217300.9923733361</v>
      </c>
      <c r="K39" s="5"/>
      <c r="P39" s="6"/>
      <c r="Q39" s="7"/>
      <c r="R39" s="3"/>
      <c r="S39" s="5"/>
      <c r="T39" s="5"/>
      <c r="U39" s="3"/>
      <c r="V39" s="3"/>
      <c r="W39" s="5"/>
    </row>
    <row r="40" spans="2:23" x14ac:dyDescent="0.35">
      <c r="B40" s="6" t="s">
        <v>33</v>
      </c>
      <c r="C40" s="7">
        <f t="shared" si="5"/>
        <v>-2003450.5636296037</v>
      </c>
      <c r="D40" s="3">
        <f t="shared" si="0"/>
        <v>1666255.5327890634</v>
      </c>
      <c r="E40" s="5">
        <f t="shared" si="1"/>
        <v>337195.0308405403</v>
      </c>
      <c r="F40" s="5">
        <f t="shared" si="2"/>
        <v>141896466.90535676</v>
      </c>
      <c r="G40" s="3">
        <f t="shared" si="3"/>
        <v>-213350.49290429597</v>
      </c>
      <c r="H40" s="3"/>
      <c r="I40" s="18"/>
      <c r="J40" s="10">
        <f t="shared" si="4"/>
        <v>-2216801.0565338996</v>
      </c>
      <c r="K40" s="5"/>
      <c r="P40" s="6"/>
      <c r="Q40" s="7"/>
      <c r="R40" s="3"/>
      <c r="S40" s="5"/>
      <c r="T40" s="5"/>
      <c r="U40" s="3"/>
      <c r="V40" s="3"/>
      <c r="W40" s="5"/>
    </row>
    <row r="41" spans="2:23" x14ac:dyDescent="0.35">
      <c r="B41" s="6" t="s">
        <v>34</v>
      </c>
      <c r="C41" s="7">
        <f t="shared" si="5"/>
        <v>-2003450.5636296037</v>
      </c>
      <c r="D41" s="3">
        <f t="shared" si="0"/>
        <v>1662305.3210169792</v>
      </c>
      <c r="E41" s="5">
        <f t="shared" si="1"/>
        <v>341145.24261262454</v>
      </c>
      <c r="F41" s="5">
        <f t="shared" si="2"/>
        <v>141555321.66274413</v>
      </c>
      <c r="G41" s="3">
        <f t="shared" si="3"/>
        <v>-212844.70035803513</v>
      </c>
      <c r="H41" s="3"/>
      <c r="I41" s="18"/>
      <c r="J41" s="10">
        <f t="shared" si="4"/>
        <v>-2216295.263987639</v>
      </c>
      <c r="K41" s="5"/>
      <c r="P41" s="6"/>
      <c r="Q41" s="7"/>
      <c r="R41" s="3"/>
      <c r="S41" s="5"/>
      <c r="T41" s="5"/>
      <c r="U41" s="3"/>
      <c r="V41" s="3"/>
      <c r="W41" s="5"/>
    </row>
    <row r="42" spans="2:23" x14ac:dyDescent="0.35">
      <c r="B42" s="6" t="s">
        <v>35</v>
      </c>
      <c r="C42" s="7">
        <f t="shared" si="5"/>
        <v>-2003450.5636296037</v>
      </c>
      <c r="D42" s="3">
        <f t="shared" si="0"/>
        <v>1658308.8328421689</v>
      </c>
      <c r="E42" s="5">
        <f t="shared" si="1"/>
        <v>345141.73078743485</v>
      </c>
      <c r="F42" s="5">
        <f t="shared" si="2"/>
        <v>141210179.93195671</v>
      </c>
      <c r="G42" s="3">
        <f t="shared" si="3"/>
        <v>-212332.98249411624</v>
      </c>
      <c r="H42" s="3"/>
      <c r="I42" s="18"/>
      <c r="J42" s="10">
        <f t="shared" si="4"/>
        <v>-2215783.5461237198</v>
      </c>
      <c r="K42" s="5"/>
      <c r="P42" s="6"/>
      <c r="Q42" s="7"/>
      <c r="R42" s="3"/>
      <c r="S42" s="5"/>
      <c r="T42" s="5"/>
      <c r="U42" s="3"/>
      <c r="V42" s="3"/>
      <c r="W42" s="5"/>
    </row>
    <row r="43" spans="2:23" x14ac:dyDescent="0.35">
      <c r="B43" s="6" t="s">
        <v>36</v>
      </c>
      <c r="C43" s="7">
        <f t="shared" si="5"/>
        <v>-2003450.5636296037</v>
      </c>
      <c r="D43" s="3">
        <f t="shared" si="0"/>
        <v>1654265.5261404198</v>
      </c>
      <c r="E43" s="5">
        <f t="shared" si="1"/>
        <v>349185.03748918395</v>
      </c>
      <c r="F43" s="5">
        <f t="shared" si="2"/>
        <v>140860994.89446753</v>
      </c>
      <c r="G43" s="3">
        <f t="shared" si="3"/>
        <v>-211815.26989793504</v>
      </c>
      <c r="H43" s="3"/>
      <c r="I43" s="18"/>
      <c r="J43" s="10">
        <f t="shared" si="4"/>
        <v>-2215265.8335275389</v>
      </c>
      <c r="K43" s="5"/>
      <c r="P43" s="6"/>
      <c r="Q43" s="7"/>
      <c r="R43" s="3"/>
      <c r="S43" s="5"/>
      <c r="T43" s="5"/>
      <c r="U43" s="3"/>
      <c r="V43" s="3"/>
      <c r="W43" s="5"/>
    </row>
    <row r="44" spans="2:23" x14ac:dyDescent="0.35">
      <c r="B44" s="6" t="s">
        <v>37</v>
      </c>
      <c r="C44" s="7">
        <f t="shared" si="5"/>
        <v>-2003450.5636296037</v>
      </c>
      <c r="D44" s="3">
        <f t="shared" si="0"/>
        <v>1650174.8524365781</v>
      </c>
      <c r="E44" s="5">
        <f t="shared" si="1"/>
        <v>353275.71119302558</v>
      </c>
      <c r="F44" s="5">
        <f t="shared" si="2"/>
        <v>140507719.18327451</v>
      </c>
      <c r="G44" s="3">
        <f t="shared" si="3"/>
        <v>-211291.49234170129</v>
      </c>
      <c r="H44" s="3"/>
      <c r="I44" s="18"/>
      <c r="J44" s="10">
        <f t="shared" si="4"/>
        <v>-2214742.0559713049</v>
      </c>
      <c r="K44" s="5"/>
      <c r="P44" s="6"/>
      <c r="Q44" s="7"/>
      <c r="R44" s="3"/>
      <c r="S44" s="5"/>
      <c r="T44" s="5"/>
      <c r="U44" s="3"/>
      <c r="V44" s="3"/>
      <c r="W44" s="5"/>
    </row>
    <row r="45" spans="2:23" x14ac:dyDescent="0.35">
      <c r="B45" s="6" t="s">
        <v>38</v>
      </c>
      <c r="C45" s="7">
        <f t="shared" si="5"/>
        <v>-2003450.5636296037</v>
      </c>
      <c r="D45" s="3">
        <f t="shared" ref="D45:D76" si="6">+F44*$B$7</f>
        <v>1646036.2568301498</v>
      </c>
      <c r="E45" s="5">
        <f t="shared" si="1"/>
        <v>357414.30679945392</v>
      </c>
      <c r="F45" s="5">
        <f t="shared" si="2"/>
        <v>140150304.87647507</v>
      </c>
      <c r="G45" s="3">
        <f t="shared" ref="G45:G76" si="7">+-F44/1000000*$B$8</f>
        <v>-210761.57877491176</v>
      </c>
      <c r="H45" s="3"/>
      <c r="I45" s="18"/>
      <c r="J45" s="10">
        <f t="shared" si="4"/>
        <v>-2214212.1424045153</v>
      </c>
      <c r="K45" s="5"/>
      <c r="P45" s="6"/>
      <c r="Q45" s="7"/>
      <c r="R45" s="3"/>
      <c r="S45" s="5"/>
      <c r="T45" s="5"/>
      <c r="U45" s="3"/>
      <c r="V45" s="3"/>
      <c r="W45" s="5"/>
    </row>
    <row r="46" spans="2:23" x14ac:dyDescent="0.35">
      <c r="B46" s="6" t="s">
        <v>39</v>
      </c>
      <c r="C46" s="7">
        <f t="shared" si="5"/>
        <v>-2003450.5636296037</v>
      </c>
      <c r="D46" s="3">
        <f t="shared" si="6"/>
        <v>1641849.1779200274</v>
      </c>
      <c r="E46" s="5">
        <f t="shared" si="1"/>
        <v>361601.38570957631</v>
      </c>
      <c r="F46" s="5">
        <f t="shared" si="2"/>
        <v>139788703.49076548</v>
      </c>
      <c r="G46" s="3">
        <f t="shared" si="7"/>
        <v>-210225.45731471261</v>
      </c>
      <c r="H46" s="3"/>
      <c r="I46" s="18"/>
      <c r="J46" s="10">
        <f t="shared" si="4"/>
        <v>-2213676.0209443164</v>
      </c>
      <c r="K46" s="5"/>
      <c r="P46" s="6"/>
      <c r="Q46" s="7"/>
      <c r="R46" s="3"/>
      <c r="S46" s="5"/>
      <c r="T46" s="5"/>
      <c r="U46" s="3"/>
      <c r="V46" s="3"/>
      <c r="W46" s="5"/>
    </row>
    <row r="47" spans="2:23" x14ac:dyDescent="0.35">
      <c r="B47" s="6" t="s">
        <v>40</v>
      </c>
      <c r="C47" s="7">
        <f t="shared" si="5"/>
        <v>-2003450.5636296037</v>
      </c>
      <c r="D47" s="3">
        <f t="shared" si="6"/>
        <v>1637613.0477283357</v>
      </c>
      <c r="E47" s="5">
        <f t="shared" si="1"/>
        <v>365837.51590126799</v>
      </c>
      <c r="F47" s="5">
        <f t="shared" si="2"/>
        <v>139422865.97486421</v>
      </c>
      <c r="G47" s="3">
        <f t="shared" si="7"/>
        <v>-209683.05523614821</v>
      </c>
      <c r="H47" s="3"/>
      <c r="I47" s="18"/>
      <c r="J47" s="10">
        <f t="shared" si="4"/>
        <v>-2213133.6188657521</v>
      </c>
      <c r="K47" s="5"/>
      <c r="P47" s="6" t="s">
        <v>99</v>
      </c>
      <c r="Q47" s="7"/>
      <c r="R47" s="3"/>
      <c r="S47" s="5"/>
      <c r="T47" s="5"/>
      <c r="U47" s="3"/>
      <c r="V47" s="3"/>
      <c r="W47" s="5"/>
    </row>
    <row r="48" spans="2:23" x14ac:dyDescent="0.35">
      <c r="B48" s="6" t="s">
        <v>41</v>
      </c>
      <c r="C48" s="7">
        <f t="shared" si="5"/>
        <v>-2003450.5636296037</v>
      </c>
      <c r="D48" s="3">
        <f t="shared" si="6"/>
        <v>1633327.2916233868</v>
      </c>
      <c r="E48" s="5">
        <f t="shared" si="1"/>
        <v>370123.27200621692</v>
      </c>
      <c r="F48" s="5">
        <f t="shared" si="2"/>
        <v>139052742.702858</v>
      </c>
      <c r="G48" s="3">
        <f t="shared" si="7"/>
        <v>-209134.29896229631</v>
      </c>
      <c r="H48" s="3"/>
      <c r="I48" s="18"/>
      <c r="J48" s="10">
        <f t="shared" si="4"/>
        <v>-2212584.8625918999</v>
      </c>
      <c r="K48" s="5">
        <f>+AVERAGE(F36:F47)</f>
        <v>141359296.30571961</v>
      </c>
      <c r="L48" s="5">
        <f>+SUM(J37:J48)</f>
        <v>-26585874.097058196</v>
      </c>
      <c r="M48" s="5">
        <f>+SUM(D37:D48)</f>
        <v>19872148.9448453</v>
      </c>
      <c r="N48" s="5">
        <f>+-SUM(G37:G48)</f>
        <v>2544467.3335029525</v>
      </c>
      <c r="O48" s="5">
        <f>+SUM(E37:E48)</f>
        <v>4169257.8187099444</v>
      </c>
      <c r="P48" s="5">
        <f>+N48+M48</f>
        <v>22416616.278348252</v>
      </c>
      <c r="Q48" s="2">
        <f>+P48/K48</f>
        <v>0.15857900303824052</v>
      </c>
      <c r="R48" s="2">
        <f>+Q48/12</f>
        <v>1.3214916919853376E-2</v>
      </c>
      <c r="S48" s="13">
        <f>+(1+R48)^(12)-1</f>
        <v>0.17062797948925956</v>
      </c>
      <c r="T48" s="5"/>
      <c r="U48" s="3"/>
      <c r="V48" s="3"/>
      <c r="W48" s="5"/>
    </row>
    <row r="49" spans="2:23" x14ac:dyDescent="0.35">
      <c r="B49" s="6" t="s">
        <v>42</v>
      </c>
      <c r="C49" s="7">
        <f t="shared" si="5"/>
        <v>-2003450.5636296037</v>
      </c>
      <c r="D49" s="3">
        <f t="shared" si="6"/>
        <v>1628991.3282417299</v>
      </c>
      <c r="E49" s="5">
        <f t="shared" si="1"/>
        <v>374459.23538787384</v>
      </c>
      <c r="F49" s="5">
        <f t="shared" si="2"/>
        <v>138678283.46747014</v>
      </c>
      <c r="G49" s="3">
        <f t="shared" si="7"/>
        <v>-208579.11405428703</v>
      </c>
      <c r="H49" s="3"/>
      <c r="I49" s="18"/>
      <c r="J49" s="10">
        <f t="shared" si="4"/>
        <v>-2212029.6776838908</v>
      </c>
      <c r="K49" s="5"/>
      <c r="P49" s="6"/>
      <c r="Q49" s="7"/>
      <c r="R49" s="3"/>
      <c r="S49" s="5"/>
      <c r="T49" s="5"/>
      <c r="U49" s="3"/>
      <c r="V49" s="3"/>
      <c r="W49" s="5"/>
    </row>
    <row r="50" spans="2:23" x14ac:dyDescent="0.35">
      <c r="B50" s="6" t="s">
        <v>43</v>
      </c>
      <c r="C50" s="7">
        <f t="shared" si="5"/>
        <v>-2003450.5636296037</v>
      </c>
      <c r="D50" s="3">
        <f t="shared" si="6"/>
        <v>1624604.5694092892</v>
      </c>
      <c r="E50" s="5">
        <f t="shared" si="1"/>
        <v>378845.99422031455</v>
      </c>
      <c r="F50" s="5">
        <f t="shared" si="2"/>
        <v>138299437.47324982</v>
      </c>
      <c r="G50" s="3">
        <f t="shared" si="7"/>
        <v>-208017.42520120522</v>
      </c>
      <c r="H50" s="3"/>
      <c r="I50" s="18"/>
      <c r="J50" s="10">
        <f t="shared" si="4"/>
        <v>-2211467.988830809</v>
      </c>
      <c r="K50" s="5"/>
      <c r="P50" s="6"/>
      <c r="Q50" s="7"/>
      <c r="R50" s="3"/>
      <c r="S50" s="5"/>
      <c r="T50" s="5"/>
      <c r="U50" s="3"/>
      <c r="V50" s="3"/>
      <c r="W50" s="5"/>
    </row>
    <row r="51" spans="2:23" x14ac:dyDescent="0.35">
      <c r="B51" s="6" t="s">
        <v>44</v>
      </c>
      <c r="C51" s="7">
        <f t="shared" si="5"/>
        <v>-2003450.5636296037</v>
      </c>
      <c r="D51" s="3">
        <f t="shared" si="6"/>
        <v>1620166.420061579</v>
      </c>
      <c r="E51" s="5">
        <f t="shared" si="1"/>
        <v>383284.14356802474</v>
      </c>
      <c r="F51" s="5">
        <f t="shared" si="2"/>
        <v>137916153.32968178</v>
      </c>
      <c r="G51" s="3">
        <f t="shared" si="7"/>
        <v>-207449.15620987472</v>
      </c>
      <c r="H51" s="3"/>
      <c r="I51" s="18"/>
      <c r="J51" s="10">
        <f t="shared" si="4"/>
        <v>-2210899.7198394784</v>
      </c>
      <c r="K51" s="5"/>
      <c r="P51" s="6"/>
      <c r="Q51" s="7"/>
      <c r="R51" s="3"/>
      <c r="S51" s="5"/>
      <c r="T51" s="5"/>
      <c r="U51" s="3"/>
      <c r="V51" s="3"/>
      <c r="W51" s="5"/>
    </row>
    <row r="52" spans="2:23" x14ac:dyDescent="0.35">
      <c r="B52" s="6" t="s">
        <v>45</v>
      </c>
      <c r="C52" s="7">
        <f t="shared" si="5"/>
        <v>-2003450.5636296037</v>
      </c>
      <c r="D52" s="3">
        <f t="shared" si="6"/>
        <v>1615676.2781629821</v>
      </c>
      <c r="E52" s="5">
        <f t="shared" si="1"/>
        <v>387774.28546662163</v>
      </c>
      <c r="F52" s="5">
        <f t="shared" si="2"/>
        <v>137528379.04421517</v>
      </c>
      <c r="G52" s="3">
        <f t="shared" si="7"/>
        <v>-206874.22999452267</v>
      </c>
      <c r="H52" s="3"/>
      <c r="I52" s="18"/>
      <c r="J52" s="10">
        <f t="shared" si="4"/>
        <v>-2210324.7936241264</v>
      </c>
      <c r="K52" s="5"/>
      <c r="P52" s="6"/>
      <c r="Q52" s="7"/>
      <c r="R52" s="3"/>
      <c r="S52" s="5"/>
      <c r="T52" s="5"/>
      <c r="U52" s="3"/>
      <c r="V52" s="3"/>
      <c r="W52" s="5"/>
    </row>
    <row r="53" spans="2:23" x14ac:dyDescent="0.35">
      <c r="B53" s="6" t="s">
        <v>46</v>
      </c>
      <c r="C53" s="7">
        <f t="shared" si="5"/>
        <v>-2003450.5636296037</v>
      </c>
      <c r="D53" s="3">
        <f t="shared" si="6"/>
        <v>1611133.5346250853</v>
      </c>
      <c r="E53" s="5">
        <f t="shared" si="1"/>
        <v>392317.02900451841</v>
      </c>
      <c r="F53" s="5">
        <f t="shared" si="2"/>
        <v>137136062.01521066</v>
      </c>
      <c r="G53" s="3">
        <f t="shared" si="7"/>
        <v>-206292.56856632276</v>
      </c>
      <c r="H53" s="3"/>
      <c r="I53" s="18"/>
      <c r="J53" s="10">
        <f t="shared" si="4"/>
        <v>-2209743.1321959263</v>
      </c>
      <c r="K53" s="5"/>
      <c r="P53" s="6"/>
      <c r="Q53" s="7"/>
      <c r="R53" s="3"/>
      <c r="S53" s="5"/>
      <c r="T53" s="5"/>
      <c r="U53" s="3"/>
      <c r="V53" s="3"/>
      <c r="W53" s="5"/>
    </row>
    <row r="54" spans="2:23" x14ac:dyDescent="0.35">
      <c r="B54" s="6" t="s">
        <v>47</v>
      </c>
      <c r="C54" s="7">
        <f t="shared" si="5"/>
        <v>-2003450.5636296037</v>
      </c>
      <c r="D54" s="3">
        <f t="shared" si="6"/>
        <v>1606537.5732240537</v>
      </c>
      <c r="E54" s="5">
        <f t="shared" si="1"/>
        <v>396912.99040554999</v>
      </c>
      <c r="F54" s="5">
        <f t="shared" si="2"/>
        <v>136739149.0248051</v>
      </c>
      <c r="G54" s="3">
        <f t="shared" si="7"/>
        <v>-205704.09302281597</v>
      </c>
      <c r="H54" s="3"/>
      <c r="I54" s="18"/>
      <c r="J54" s="10">
        <f t="shared" si="4"/>
        <v>-2209154.6566524198</v>
      </c>
      <c r="K54" s="5"/>
      <c r="P54" s="6"/>
      <c r="Q54" s="7"/>
      <c r="R54" s="3"/>
      <c r="S54" s="5"/>
      <c r="T54" s="5"/>
      <c r="U54" s="3"/>
      <c r="V54" s="3"/>
      <c r="W54" s="5"/>
    </row>
    <row r="55" spans="2:23" x14ac:dyDescent="0.35">
      <c r="B55" s="6" t="s">
        <v>48</v>
      </c>
      <c r="C55" s="7">
        <f t="shared" si="5"/>
        <v>-2003450.5636296037</v>
      </c>
      <c r="D55" s="3">
        <f t="shared" si="6"/>
        <v>1601887.7705170421</v>
      </c>
      <c r="E55" s="5">
        <f t="shared" si="1"/>
        <v>401562.79311256157</v>
      </c>
      <c r="F55" s="5">
        <f t="shared" si="2"/>
        <v>136337586.23169252</v>
      </c>
      <c r="G55" s="3">
        <f t="shared" si="7"/>
        <v>-205108.72353720764</v>
      </c>
      <c r="H55" s="3"/>
      <c r="I55" s="18"/>
      <c r="J55" s="10">
        <f t="shared" si="4"/>
        <v>-2208559.2871668115</v>
      </c>
      <c r="K55" s="5"/>
      <c r="P55" s="6"/>
      <c r="Q55" s="7"/>
      <c r="R55" s="3"/>
      <c r="S55" s="5"/>
      <c r="T55" s="5"/>
      <c r="U55" s="3"/>
      <c r="V55" s="3"/>
      <c r="W55" s="5"/>
    </row>
    <row r="56" spans="2:23" x14ac:dyDescent="0.35">
      <c r="B56" s="6" t="s">
        <v>49</v>
      </c>
      <c r="C56" s="7">
        <f t="shared" si="5"/>
        <v>-2003450.5636296037</v>
      </c>
      <c r="D56" s="3">
        <f t="shared" si="6"/>
        <v>1597183.495757624</v>
      </c>
      <c r="E56" s="5">
        <f t="shared" si="1"/>
        <v>406267.06787197967</v>
      </c>
      <c r="F56" s="5">
        <f t="shared" si="2"/>
        <v>135931319.16382053</v>
      </c>
      <c r="G56" s="3">
        <f t="shared" si="7"/>
        <v>-204506.37934753878</v>
      </c>
      <c r="H56" s="3"/>
      <c r="I56" s="18"/>
      <c r="J56" s="10">
        <f t="shared" si="4"/>
        <v>-2207956.9429771425</v>
      </c>
      <c r="K56" s="5"/>
      <c r="P56" s="6"/>
      <c r="Q56" s="7"/>
      <c r="R56" s="3"/>
      <c r="S56" s="5"/>
      <c r="T56" s="5"/>
      <c r="U56" s="3"/>
      <c r="V56" s="3"/>
      <c r="W56" s="5"/>
    </row>
    <row r="57" spans="2:23" x14ac:dyDescent="0.35">
      <c r="B57" s="6" t="s">
        <v>50</v>
      </c>
      <c r="C57" s="7">
        <f t="shared" si="5"/>
        <v>-2003450.5636296037</v>
      </c>
      <c r="D57" s="3">
        <f t="shared" si="6"/>
        <v>1592424.1108102312</v>
      </c>
      <c r="E57" s="5">
        <f t="shared" si="1"/>
        <v>411026.45281937253</v>
      </c>
      <c r="F57" s="5">
        <f t="shared" si="2"/>
        <v>135520292.71100116</v>
      </c>
      <c r="G57" s="3">
        <f t="shared" si="7"/>
        <v>-203896.97874573083</v>
      </c>
      <c r="H57" s="3"/>
      <c r="I57" s="18"/>
      <c r="J57" s="10">
        <f t="shared" si="4"/>
        <v>-2207347.5423753345</v>
      </c>
      <c r="K57" s="5"/>
      <c r="P57" s="6"/>
      <c r="Q57" s="7"/>
      <c r="R57" s="3"/>
      <c r="S57" s="5"/>
      <c r="T57" s="5"/>
      <c r="U57" s="3"/>
      <c r="V57" s="3"/>
      <c r="W57" s="5"/>
    </row>
    <row r="58" spans="2:23" x14ac:dyDescent="0.35">
      <c r="B58" s="6" t="s">
        <v>51</v>
      </c>
      <c r="C58" s="7">
        <f t="shared" si="5"/>
        <v>-2003450.5636296037</v>
      </c>
      <c r="D58" s="3">
        <f t="shared" si="6"/>
        <v>1587608.9700635902</v>
      </c>
      <c r="E58" s="5">
        <f t="shared" si="1"/>
        <v>415841.5935660135</v>
      </c>
      <c r="F58" s="5">
        <f t="shared" si="2"/>
        <v>135104451.11743516</v>
      </c>
      <c r="G58" s="3">
        <f t="shared" si="7"/>
        <v>-203280.43906650174</v>
      </c>
      <c r="H58" s="3"/>
      <c r="I58" s="18"/>
      <c r="J58" s="10">
        <f t="shared" si="4"/>
        <v>-2206731.0026961053</v>
      </c>
      <c r="K58" s="5"/>
      <c r="P58" s="6"/>
      <c r="Q58" s="7"/>
      <c r="R58" s="3"/>
      <c r="S58" s="5"/>
      <c r="T58" s="5"/>
      <c r="U58" s="3"/>
      <c r="V58" s="3"/>
      <c r="W58" s="5"/>
    </row>
    <row r="59" spans="2:23" x14ac:dyDescent="0.35">
      <c r="B59" s="6" t="s">
        <v>52</v>
      </c>
      <c r="C59" s="7">
        <f t="shared" si="5"/>
        <v>-2003450.5636296037</v>
      </c>
      <c r="D59" s="3">
        <f t="shared" si="6"/>
        <v>1582737.420343145</v>
      </c>
      <c r="E59" s="5">
        <f t="shared" si="1"/>
        <v>420713.14328645868</v>
      </c>
      <c r="F59" s="5">
        <f t="shared" si="2"/>
        <v>134683737.97414869</v>
      </c>
      <c r="G59" s="3">
        <f t="shared" si="7"/>
        <v>-202656.67667615274</v>
      </c>
      <c r="H59" s="3"/>
      <c r="I59" s="18"/>
      <c r="J59" s="10">
        <f t="shared" si="4"/>
        <v>-2206107.2403057562</v>
      </c>
      <c r="K59" s="5"/>
      <c r="P59" s="6" t="s">
        <v>99</v>
      </c>
      <c r="Q59" s="7"/>
      <c r="R59" s="3"/>
      <c r="S59" s="5"/>
      <c r="T59" s="5"/>
      <c r="U59" s="3"/>
      <c r="V59" s="3"/>
      <c r="W59" s="5"/>
    </row>
    <row r="60" spans="2:23" x14ac:dyDescent="0.35">
      <c r="B60" s="6" t="s">
        <v>53</v>
      </c>
      <c r="C60" s="7">
        <f t="shared" si="5"/>
        <v>-2003450.5636296037</v>
      </c>
      <c r="D60" s="3">
        <f t="shared" si="6"/>
        <v>1577808.8008224536</v>
      </c>
      <c r="E60" s="5">
        <f t="shared" si="1"/>
        <v>425641.76280715014</v>
      </c>
      <c r="F60" s="5">
        <f t="shared" si="2"/>
        <v>134258096.21134153</v>
      </c>
      <c r="G60" s="3">
        <f t="shared" si="7"/>
        <v>-202025.60696122303</v>
      </c>
      <c r="H60" s="3"/>
      <c r="I60" s="18"/>
      <c r="J60" s="10">
        <f t="shared" si="4"/>
        <v>-2205476.1705908268</v>
      </c>
      <c r="K60" s="5">
        <f>+AVERAGE(F48:F59)</f>
        <v>136910632.85463241</v>
      </c>
      <c r="L60" s="5">
        <f>+SUM(J49:J60)</f>
        <v>-26505798.154938623</v>
      </c>
      <c r="M60" s="5">
        <f>+SUM(D49:D60)</f>
        <v>19246760.272038803</v>
      </c>
      <c r="N60" s="5">
        <f>+-SUM(G49:G60)</f>
        <v>2464391.391383383</v>
      </c>
      <c r="O60" s="5">
        <f>+SUM(E49:E60)</f>
        <v>4794646.4915164402</v>
      </c>
      <c r="P60" s="5">
        <f>+N60+M60</f>
        <v>21711151.663422186</v>
      </c>
      <c r="Q60" s="2">
        <f>+P60/K60</f>
        <v>0.15857900303824052</v>
      </c>
      <c r="R60" s="2">
        <f>+Q60/12</f>
        <v>1.3214916919853376E-2</v>
      </c>
      <c r="S60" s="13">
        <f>+(1+R60)^(12)-1</f>
        <v>0.17062797948925956</v>
      </c>
      <c r="T60" s="5"/>
      <c r="U60" s="3"/>
      <c r="V60" s="3"/>
      <c r="W60" s="5"/>
    </row>
    <row r="61" spans="2:23" x14ac:dyDescent="0.35">
      <c r="B61" s="6" t="s">
        <v>54</v>
      </c>
      <c r="C61" s="7">
        <f t="shared" si="5"/>
        <v>-2003450.5636296037</v>
      </c>
      <c r="D61" s="3">
        <f t="shared" si="6"/>
        <v>1572822.4429335478</v>
      </c>
      <c r="E61" s="5">
        <f t="shared" si="1"/>
        <v>430628.12069605594</v>
      </c>
      <c r="F61" s="5">
        <f t="shared" si="2"/>
        <v>133827468.09064548</v>
      </c>
      <c r="G61" s="3">
        <f t="shared" si="7"/>
        <v>-201387.14431701228</v>
      </c>
      <c r="H61" s="3"/>
      <c r="I61" s="18"/>
      <c r="J61" s="10">
        <f t="shared" si="4"/>
        <v>-2204837.7079466162</v>
      </c>
      <c r="K61" s="5"/>
      <c r="P61" s="6"/>
      <c r="Q61" s="7"/>
      <c r="R61" s="3"/>
      <c r="S61" s="5"/>
      <c r="T61" s="5"/>
      <c r="U61" s="3"/>
      <c r="V61" s="3"/>
      <c r="W61" s="5"/>
    </row>
    <row r="62" spans="2:23" x14ac:dyDescent="0.35">
      <c r="B62" s="6" t="s">
        <v>55</v>
      </c>
      <c r="C62" s="7">
        <f t="shared" si="5"/>
        <v>-2003450.5636296037</v>
      </c>
      <c r="D62" s="3">
        <f t="shared" si="6"/>
        <v>1567777.6702762409</v>
      </c>
      <c r="E62" s="5">
        <f t="shared" si="1"/>
        <v>435672.8933533628</v>
      </c>
      <c r="F62" s="5">
        <f t="shared" si="2"/>
        <v>133391795.19729212</v>
      </c>
      <c r="G62" s="3">
        <f t="shared" si="7"/>
        <v>-200741.20213596823</v>
      </c>
      <c r="H62" s="3"/>
      <c r="I62" s="18"/>
      <c r="J62" s="10">
        <f t="shared" si="4"/>
        <v>-2204191.765765572</v>
      </c>
      <c r="K62" s="5"/>
      <c r="P62" s="6"/>
      <c r="Q62" s="7"/>
      <c r="R62" s="3"/>
      <c r="S62" s="5"/>
      <c r="T62" s="5"/>
      <c r="U62" s="3"/>
      <c r="V62" s="3"/>
      <c r="W62" s="5"/>
    </row>
    <row r="63" spans="2:23" x14ac:dyDescent="0.35">
      <c r="B63" s="6" t="s">
        <v>56</v>
      </c>
      <c r="C63" s="7">
        <f t="shared" si="5"/>
        <v>-2003450.5636296037</v>
      </c>
      <c r="D63" s="3">
        <f t="shared" si="6"/>
        <v>1562673.7985263742</v>
      </c>
      <c r="E63" s="5">
        <f t="shared" si="1"/>
        <v>440776.76510322955</v>
      </c>
      <c r="F63" s="5">
        <f t="shared" si="2"/>
        <v>132951018.43218888</v>
      </c>
      <c r="G63" s="3">
        <f t="shared" si="7"/>
        <v>-200087.69279593817</v>
      </c>
      <c r="H63" s="3"/>
      <c r="I63" s="18"/>
      <c r="J63" s="10">
        <f t="shared" si="4"/>
        <v>-2203538.2564255418</v>
      </c>
      <c r="K63" s="5"/>
      <c r="P63" s="6"/>
      <c r="Q63" s="7"/>
      <c r="R63" s="3"/>
      <c r="S63" s="5"/>
      <c r="T63" s="5"/>
      <c r="U63" s="3"/>
      <c r="V63" s="3"/>
      <c r="W63" s="5"/>
    </row>
    <row r="64" spans="2:23" x14ac:dyDescent="0.35">
      <c r="B64" s="6" t="s">
        <v>57</v>
      </c>
      <c r="C64" s="7">
        <f t="shared" si="5"/>
        <v>-2003450.5636296037</v>
      </c>
      <c r="D64" s="3">
        <f t="shared" si="6"/>
        <v>1557510.1353429882</v>
      </c>
      <c r="E64" s="5">
        <f t="shared" si="1"/>
        <v>445940.42828661553</v>
      </c>
      <c r="F64" s="5">
        <f t="shared" si="2"/>
        <v>132505078.00390227</v>
      </c>
      <c r="G64" s="3">
        <f t="shared" si="7"/>
        <v>-199426.52764828331</v>
      </c>
      <c r="H64" s="3"/>
      <c r="I64" s="18"/>
      <c r="J64" s="10">
        <f t="shared" si="4"/>
        <v>-2202877.0912778871</v>
      </c>
      <c r="K64" s="5"/>
      <c r="P64" s="6"/>
      <c r="Q64" s="7"/>
      <c r="R64" s="3"/>
      <c r="S64" s="5"/>
      <c r="T64" s="5"/>
      <c r="U64" s="3"/>
      <c r="V64" s="3"/>
      <c r="W64" s="5"/>
    </row>
    <row r="65" spans="2:23" x14ac:dyDescent="0.35">
      <c r="B65" s="6" t="s">
        <v>58</v>
      </c>
      <c r="C65" s="7">
        <f t="shared" si="5"/>
        <v>-2003450.5636296037</v>
      </c>
      <c r="D65" s="3">
        <f t="shared" si="6"/>
        <v>1552285.9802744067</v>
      </c>
      <c r="E65" s="5">
        <f t="shared" si="1"/>
        <v>451164.58335519698</v>
      </c>
      <c r="F65" s="5">
        <f t="shared" si="2"/>
        <v>132053913.42054707</v>
      </c>
      <c r="G65" s="3">
        <f t="shared" si="7"/>
        <v>-198757.61700585342</v>
      </c>
      <c r="H65" s="3"/>
      <c r="I65" s="18"/>
      <c r="J65" s="10">
        <f t="shared" si="4"/>
        <v>-2202208.1806354569</v>
      </c>
      <c r="K65" s="5"/>
      <c r="P65" s="6"/>
      <c r="Q65" s="7"/>
      <c r="R65" s="3"/>
      <c r="S65" s="5"/>
      <c r="T65" s="5"/>
      <c r="U65" s="3"/>
      <c r="V65" s="3"/>
      <c r="W65" s="5"/>
    </row>
    <row r="66" spans="2:23" x14ac:dyDescent="0.35">
      <c r="B66" s="6" t="s">
        <v>59</v>
      </c>
      <c r="C66" s="7">
        <f t="shared" si="5"/>
        <v>-2003450.5636296037</v>
      </c>
      <c r="D66" s="3">
        <f t="shared" si="6"/>
        <v>1547000.6246632203</v>
      </c>
      <c r="E66" s="5">
        <f t="shared" si="1"/>
        <v>456449.93896638346</v>
      </c>
      <c r="F66" s="5">
        <f t="shared" si="2"/>
        <v>131597463.48158069</v>
      </c>
      <c r="G66" s="3">
        <f t="shared" si="7"/>
        <v>-198080.87013082061</v>
      </c>
      <c r="H66" s="3"/>
      <c r="I66" s="18"/>
      <c r="J66" s="10">
        <f t="shared" si="4"/>
        <v>-2201531.4337604241</v>
      </c>
      <c r="K66" s="5"/>
      <c r="P66" s="6"/>
      <c r="Q66" s="7"/>
      <c r="R66" s="3"/>
      <c r="S66" s="5"/>
      <c r="T66" s="5"/>
      <c r="U66" s="3"/>
      <c r="V66" s="3"/>
      <c r="W66" s="5"/>
    </row>
    <row r="67" spans="2:23" x14ac:dyDescent="0.35">
      <c r="B67" s="6" t="s">
        <v>60</v>
      </c>
      <c r="C67" s="7">
        <f t="shared" si="5"/>
        <v>-2003450.5636296037</v>
      </c>
      <c r="D67" s="3">
        <f t="shared" si="6"/>
        <v>1541653.3515501569</v>
      </c>
      <c r="E67" s="5">
        <f t="shared" si="1"/>
        <v>461797.21207944676</v>
      </c>
      <c r="F67" s="5">
        <f t="shared" si="2"/>
        <v>131135666.26950124</v>
      </c>
      <c r="G67" s="3">
        <f t="shared" si="7"/>
        <v>-197396.19522237103</v>
      </c>
      <c r="H67" s="3"/>
      <c r="I67" s="18"/>
      <c r="J67" s="10">
        <f t="shared" si="4"/>
        <v>-2200846.7588519747</v>
      </c>
      <c r="K67" s="5"/>
      <c r="P67" s="6"/>
      <c r="Q67" s="7"/>
      <c r="R67" s="3"/>
      <c r="S67" s="5"/>
      <c r="T67" s="5"/>
      <c r="U67" s="3"/>
      <c r="V67" s="3"/>
      <c r="W67" s="5"/>
    </row>
    <row r="68" spans="2:23" x14ac:dyDescent="0.35">
      <c r="B68" s="6" t="s">
        <v>61</v>
      </c>
      <c r="C68" s="7">
        <f t="shared" si="5"/>
        <v>-2003450.5636296037</v>
      </c>
      <c r="D68" s="3">
        <f t="shared" si="6"/>
        <v>1536243.4355768261</v>
      </c>
      <c r="E68" s="5">
        <f t="shared" si="1"/>
        <v>467207.12805277761</v>
      </c>
      <c r="F68" s="5">
        <f t="shared" si="2"/>
        <v>130668459.14144847</v>
      </c>
      <c r="G68" s="3">
        <f t="shared" si="7"/>
        <v>-196703.49940425184</v>
      </c>
      <c r="H68" s="3"/>
      <c r="I68" s="18"/>
      <c r="J68" s="10">
        <f t="shared" si="4"/>
        <v>-2200154.0630338555</v>
      </c>
      <c r="K68" s="5"/>
      <c r="P68" s="6"/>
      <c r="Q68" s="7"/>
      <c r="R68" s="3"/>
      <c r="S68" s="5"/>
      <c r="T68" s="5"/>
      <c r="U68" s="3"/>
      <c r="V68" s="3"/>
      <c r="W68" s="5"/>
    </row>
    <row r="69" spans="2:23" x14ac:dyDescent="0.35">
      <c r="B69" s="6" t="s">
        <v>62</v>
      </c>
      <c r="C69" s="7">
        <f t="shared" si="5"/>
        <v>-2003450.5636296037</v>
      </c>
      <c r="D69" s="3">
        <f t="shared" si="6"/>
        <v>1530770.1428873248</v>
      </c>
      <c r="E69" s="5">
        <f t="shared" si="1"/>
        <v>472680.42074227892</v>
      </c>
      <c r="F69" s="5">
        <f t="shared" si="2"/>
        <v>130195778.72070619</v>
      </c>
      <c r="G69" s="3">
        <f t="shared" si="7"/>
        <v>-196002.6887121727</v>
      </c>
      <c r="H69" s="3"/>
      <c r="I69" s="18"/>
      <c r="J69" s="10">
        <f t="shared" si="4"/>
        <v>-2199453.2523417766</v>
      </c>
      <c r="K69" s="5"/>
      <c r="P69" s="6"/>
      <c r="Q69" s="7"/>
      <c r="R69" s="3"/>
      <c r="S69" s="5"/>
      <c r="T69" s="5"/>
      <c r="U69" s="3"/>
      <c r="V69" s="3"/>
      <c r="W69" s="5"/>
    </row>
    <row r="70" spans="2:23" x14ac:dyDescent="0.35">
      <c r="B70" s="6" t="s">
        <v>63</v>
      </c>
      <c r="C70" s="7">
        <f t="shared" si="5"/>
        <v>-2003450.5636296037</v>
      </c>
      <c r="D70" s="3">
        <f t="shared" si="6"/>
        <v>1525232.7310286877</v>
      </c>
      <c r="E70" s="5">
        <f t="shared" si="1"/>
        <v>478217.83260091604</v>
      </c>
      <c r="F70" s="5">
        <f t="shared" si="2"/>
        <v>129717560.88810527</v>
      </c>
      <c r="G70" s="3">
        <f t="shared" si="7"/>
        <v>-195293.66808105927</v>
      </c>
      <c r="H70" s="3"/>
      <c r="I70" s="18"/>
      <c r="J70" s="10">
        <f t="shared" si="4"/>
        <v>-2198744.2317106631</v>
      </c>
      <c r="K70" s="5"/>
      <c r="P70" s="6"/>
      <c r="Q70" s="7"/>
      <c r="R70" s="3"/>
      <c r="S70" s="5"/>
      <c r="T70" s="5"/>
      <c r="U70" s="3"/>
      <c r="V70" s="3"/>
      <c r="W70" s="5"/>
    </row>
    <row r="71" spans="2:23" x14ac:dyDescent="0.35">
      <c r="B71" s="6" t="s">
        <v>64</v>
      </c>
      <c r="C71" s="7">
        <f t="shared" si="5"/>
        <v>-2003450.5636296037</v>
      </c>
      <c r="D71" s="3">
        <f t="shared" si="6"/>
        <v>1519630.4488501754</v>
      </c>
      <c r="E71" s="5">
        <f t="shared" si="1"/>
        <v>483820.11477942835</v>
      </c>
      <c r="F71" s="5">
        <f t="shared" si="2"/>
        <v>129233740.77332585</v>
      </c>
      <c r="G71" s="3">
        <f t="shared" si="7"/>
        <v>-194576.34133215793</v>
      </c>
      <c r="H71" s="3"/>
      <c r="I71" s="18"/>
      <c r="J71" s="10">
        <f t="shared" si="4"/>
        <v>-2198026.9049617616</v>
      </c>
      <c r="K71" s="5"/>
      <c r="P71" s="6"/>
      <c r="Q71" s="7"/>
      <c r="R71" s="3"/>
      <c r="S71" s="5"/>
      <c r="T71" s="5"/>
      <c r="U71" s="3"/>
      <c r="V71" s="3"/>
      <c r="W71" s="5"/>
    </row>
    <row r="72" spans="2:23" x14ac:dyDescent="0.35">
      <c r="B72" s="6" t="s">
        <v>65</v>
      </c>
      <c r="C72" s="7">
        <f t="shared" si="5"/>
        <v>-2003450.5636296037</v>
      </c>
      <c r="D72" s="3">
        <f t="shared" si="6"/>
        <v>1513962.5364013806</v>
      </c>
      <c r="E72" s="5">
        <f t="shared" si="1"/>
        <v>489488.02722822316</v>
      </c>
      <c r="F72" s="5">
        <f t="shared" si="2"/>
        <v>128744252.74609762</v>
      </c>
      <c r="G72" s="3">
        <f t="shared" si="7"/>
        <v>-193850.61115998877</v>
      </c>
      <c r="H72" s="3"/>
      <c r="I72" s="18"/>
      <c r="J72" s="10">
        <f t="shared" si="4"/>
        <v>-2197301.1747895926</v>
      </c>
      <c r="K72" s="5"/>
      <c r="P72" s="6"/>
      <c r="Q72" s="7"/>
      <c r="R72" s="3"/>
      <c r="S72" s="5"/>
      <c r="T72" s="5"/>
      <c r="U72" s="3"/>
      <c r="V72" s="3"/>
      <c r="W72" s="5"/>
    </row>
    <row r="73" spans="2:23" x14ac:dyDescent="0.35">
      <c r="B73" s="6" t="s">
        <v>66</v>
      </c>
      <c r="C73" s="7">
        <f t="shared" si="5"/>
        <v>-2003450.5636296037</v>
      </c>
      <c r="D73" s="3">
        <f t="shared" si="6"/>
        <v>1508228.224829139</v>
      </c>
      <c r="E73" s="5">
        <f t="shared" si="1"/>
        <v>495222.33880046476</v>
      </c>
      <c r="F73" s="5">
        <f t="shared" si="2"/>
        <v>128249030.40729716</v>
      </c>
      <c r="G73" s="3">
        <f t="shared" si="7"/>
        <v>-193116.37911914644</v>
      </c>
      <c r="H73" s="3"/>
      <c r="I73" s="18"/>
      <c r="J73" s="10">
        <f t="shared" si="4"/>
        <v>-2196566.9427487501</v>
      </c>
      <c r="K73" s="5"/>
      <c r="P73" s="6"/>
      <c r="Q73" s="7"/>
      <c r="R73" s="3"/>
      <c r="S73" s="5"/>
      <c r="T73" s="5"/>
      <c r="U73" s="3"/>
      <c r="V73" s="3"/>
      <c r="W73" s="5"/>
    </row>
    <row r="74" spans="2:23" x14ac:dyDescent="0.35">
      <c r="B74" s="6" t="s">
        <v>67</v>
      </c>
      <c r="C74" s="7">
        <f t="shared" si="5"/>
        <v>-2003450.5636296037</v>
      </c>
      <c r="D74" s="3">
        <f t="shared" si="6"/>
        <v>1502426.7362732361</v>
      </c>
      <c r="E74" s="5">
        <f t="shared" si="1"/>
        <v>501023.8273563676</v>
      </c>
      <c r="F74" s="5">
        <f t="shared" si="2"/>
        <v>127748006.5799408</v>
      </c>
      <c r="G74" s="3">
        <f t="shared" si="7"/>
        <v>-192373.54561094576</v>
      </c>
      <c r="H74" s="3"/>
      <c r="I74" s="18"/>
      <c r="J74" s="10">
        <f t="shared" si="4"/>
        <v>-2195824.1092405496</v>
      </c>
      <c r="K74" s="5"/>
      <c r="P74" s="6"/>
      <c r="Q74" s="7"/>
      <c r="R74" s="3"/>
      <c r="S74" s="5"/>
      <c r="T74" s="5"/>
      <c r="U74" s="3"/>
      <c r="V74" s="3"/>
      <c r="W74" s="5"/>
    </row>
    <row r="75" spans="2:23" x14ac:dyDescent="0.35">
      <c r="B75" s="6" t="s">
        <v>68</v>
      </c>
      <c r="C75" s="7">
        <f t="shared" si="5"/>
        <v>-2003450.5636296037</v>
      </c>
      <c r="D75" s="3">
        <f t="shared" si="6"/>
        <v>1496557.2837608894</v>
      </c>
      <c r="E75" s="5">
        <f t="shared" si="1"/>
        <v>506893.27986871428</v>
      </c>
      <c r="F75" s="5">
        <f t="shared" si="2"/>
        <v>127241113.30007209</v>
      </c>
      <c r="G75" s="3">
        <f t="shared" si="7"/>
        <v>-191622.00986991118</v>
      </c>
      <c r="H75" s="3"/>
      <c r="I75" s="18"/>
      <c r="J75" s="10">
        <f t="shared" si="4"/>
        <v>-2195072.5734995147</v>
      </c>
      <c r="K75" s="5"/>
      <c r="P75" s="6"/>
      <c r="Q75" s="7"/>
      <c r="R75" s="3"/>
      <c r="S75" s="5"/>
      <c r="T75" s="5"/>
      <c r="U75" s="3"/>
      <c r="V75" s="3"/>
      <c r="W75" s="5"/>
    </row>
    <row r="76" spans="2:23" x14ac:dyDescent="0.35">
      <c r="B76" s="6" t="s">
        <v>69</v>
      </c>
      <c r="C76" s="7">
        <f t="shared" si="5"/>
        <v>-2003450.5636296037</v>
      </c>
      <c r="D76" s="3">
        <f t="shared" si="6"/>
        <v>1490619.0710999954</v>
      </c>
      <c r="E76" s="5">
        <f t="shared" si="1"/>
        <v>512831.49252960831</v>
      </c>
      <c r="F76" s="5">
        <f t="shared" si="2"/>
        <v>126728281.80754247</v>
      </c>
      <c r="G76" s="3">
        <f t="shared" si="7"/>
        <v>-190861.66995010813</v>
      </c>
      <c r="H76" s="3"/>
      <c r="I76" s="18"/>
      <c r="J76" s="10">
        <f t="shared" si="4"/>
        <v>-2194312.233579712</v>
      </c>
      <c r="K76" s="5"/>
      <c r="P76" s="6"/>
      <c r="Q76" s="7"/>
      <c r="R76" s="3"/>
      <c r="S76" s="5"/>
      <c r="T76" s="5"/>
      <c r="U76" s="3"/>
      <c r="V76" s="3"/>
      <c r="W76" s="5"/>
    </row>
    <row r="77" spans="2:23" x14ac:dyDescent="0.35">
      <c r="B77" s="6" t="s">
        <v>70</v>
      </c>
      <c r="C77" s="7">
        <f t="shared" si="5"/>
        <v>-2003450.5636296037</v>
      </c>
      <c r="D77" s="3">
        <f t="shared" ref="D77:D96" si="8">+F76*$B$7</f>
        <v>1484611.2927711266</v>
      </c>
      <c r="E77" s="5">
        <f t="shared" ref="E77:E90" si="9">+-C77-D77</f>
        <v>518839.2708584771</v>
      </c>
      <c r="F77" s="5">
        <f t="shared" ref="F77:F90" si="10">+F76-E77</f>
        <v>126209442.53668399</v>
      </c>
      <c r="G77" s="3">
        <f t="shared" ref="G77:G96" si="11">+-F76/1000000*$B$8</f>
        <v>-190092.4227113137</v>
      </c>
      <c r="H77" s="3"/>
      <c r="I77" s="18"/>
      <c r="J77" s="10">
        <f t="shared" ref="J77:J90" si="12">+C77+G77</f>
        <v>-2193542.9863409176</v>
      </c>
      <c r="K77" s="5"/>
      <c r="P77" s="6"/>
      <c r="Q77" s="7"/>
      <c r="R77" s="3"/>
      <c r="S77" s="5"/>
      <c r="T77" s="5"/>
      <c r="U77" s="3"/>
      <c r="V77" s="3"/>
      <c r="W77" s="5"/>
    </row>
    <row r="78" spans="2:23" x14ac:dyDescent="0.35">
      <c r="B78" s="6" t="s">
        <v>71</v>
      </c>
      <c r="C78" s="7">
        <f t="shared" ref="C78:C141" si="13">+C77</f>
        <v>-2003450.5636296037</v>
      </c>
      <c r="D78" s="3">
        <f t="shared" si="8"/>
        <v>1478533.1338182623</v>
      </c>
      <c r="E78" s="5">
        <f t="shared" si="9"/>
        <v>524917.42981134146</v>
      </c>
      <c r="F78" s="5">
        <f t="shared" si="10"/>
        <v>125684525.10687265</v>
      </c>
      <c r="G78" s="3">
        <f t="shared" si="11"/>
        <v>-189314.16380502598</v>
      </c>
      <c r="H78" s="3"/>
      <c r="I78" s="18"/>
      <c r="J78" s="10">
        <f t="shared" si="12"/>
        <v>-2192764.7274346296</v>
      </c>
      <c r="K78" s="5"/>
      <c r="P78" s="6"/>
      <c r="Q78" s="7"/>
      <c r="R78" s="3"/>
      <c r="S78" s="5"/>
      <c r="T78" s="5"/>
      <c r="U78" s="3"/>
      <c r="V78" s="3"/>
      <c r="W78" s="5"/>
    </row>
    <row r="79" spans="2:23" x14ac:dyDescent="0.35">
      <c r="B79" s="6" t="s">
        <v>72</v>
      </c>
      <c r="C79" s="7">
        <f t="shared" si="13"/>
        <v>-2003450.5636296037</v>
      </c>
      <c r="D79" s="3">
        <f t="shared" si="8"/>
        <v>1472383.7697382392</v>
      </c>
      <c r="E79" s="5">
        <f t="shared" si="9"/>
        <v>531066.79389136448</v>
      </c>
      <c r="F79" s="5">
        <f t="shared" si="10"/>
        <v>125153458.31298128</v>
      </c>
      <c r="G79" s="3">
        <f t="shared" si="11"/>
        <v>-188526.78766030897</v>
      </c>
      <c r="H79" s="3"/>
      <c r="I79" s="18"/>
      <c r="J79" s="10">
        <f t="shared" si="12"/>
        <v>-2191977.3512899126</v>
      </c>
      <c r="K79" s="5"/>
      <c r="P79" s="6"/>
      <c r="Q79" s="7"/>
      <c r="R79" s="3"/>
      <c r="S79" s="5"/>
      <c r="T79" s="5"/>
      <c r="U79" s="3"/>
      <c r="V79" s="3"/>
      <c r="W79" s="5"/>
    </row>
    <row r="80" spans="2:23" x14ac:dyDescent="0.35">
      <c r="B80" s="6" t="s">
        <v>73</v>
      </c>
      <c r="C80" s="7">
        <f t="shared" si="13"/>
        <v>-2003450.5636296037</v>
      </c>
      <c r="D80" s="3">
        <f t="shared" si="8"/>
        <v>1466162.3663689089</v>
      </c>
      <c r="E80" s="5">
        <f t="shared" si="9"/>
        <v>537288.19726069481</v>
      </c>
      <c r="F80" s="5">
        <f t="shared" si="10"/>
        <v>124616170.11572058</v>
      </c>
      <c r="G80" s="3">
        <f t="shared" si="11"/>
        <v>-187730.18746947192</v>
      </c>
      <c r="H80" s="3"/>
      <c r="I80" s="18"/>
      <c r="J80" s="10">
        <f t="shared" si="12"/>
        <v>-2191180.7510990757</v>
      </c>
      <c r="K80" s="5"/>
      <c r="P80" s="6"/>
      <c r="Q80" s="7"/>
      <c r="R80" s="3"/>
      <c r="S80" s="5"/>
      <c r="T80" s="5"/>
      <c r="U80" s="3"/>
      <c r="V80" s="3"/>
      <c r="W80" s="5"/>
    </row>
    <row r="81" spans="2:23" x14ac:dyDescent="0.35">
      <c r="B81" s="6" t="s">
        <v>74</v>
      </c>
      <c r="C81" s="7">
        <f t="shared" si="13"/>
        <v>-2003450.5636296037</v>
      </c>
      <c r="D81" s="3">
        <f t="shared" si="8"/>
        <v>1459868.0797759823</v>
      </c>
      <c r="E81" s="5">
        <f t="shared" si="9"/>
        <v>543582.48385362141</v>
      </c>
      <c r="F81" s="5">
        <f t="shared" si="10"/>
        <v>124072587.63186696</v>
      </c>
      <c r="G81" s="3">
        <f t="shared" si="11"/>
        <v>-186924.25517358087</v>
      </c>
      <c r="H81" s="3"/>
      <c r="I81" s="18"/>
      <c r="J81" s="10">
        <f t="shared" si="12"/>
        <v>-2190374.8188031847</v>
      </c>
      <c r="K81" s="5"/>
      <c r="P81" s="6"/>
      <c r="Q81" s="7"/>
      <c r="R81" s="3"/>
      <c r="S81" s="5"/>
      <c r="T81" s="5"/>
      <c r="U81" s="3"/>
      <c r="V81" s="3"/>
      <c r="W81" s="5"/>
    </row>
    <row r="82" spans="2:23" x14ac:dyDescent="0.35">
      <c r="B82" s="6" t="s">
        <v>75</v>
      </c>
      <c r="C82" s="7">
        <f t="shared" si="13"/>
        <v>-2003450.5636296037</v>
      </c>
      <c r="D82" s="3">
        <f t="shared" si="8"/>
        <v>1453500.0561385495</v>
      </c>
      <c r="E82" s="5">
        <f t="shared" si="9"/>
        <v>549950.50749105425</v>
      </c>
      <c r="F82" s="5">
        <f t="shared" si="10"/>
        <v>123522637.12437591</v>
      </c>
      <c r="G82" s="3">
        <f t="shared" si="11"/>
        <v>-186108.88144780044</v>
      </c>
      <c r="H82" s="3"/>
      <c r="I82" s="18"/>
      <c r="J82" s="10">
        <f t="shared" si="12"/>
        <v>-2189559.4450774044</v>
      </c>
      <c r="K82" s="5"/>
      <c r="P82" s="6"/>
      <c r="Q82" s="7"/>
      <c r="R82" s="3"/>
      <c r="S82" s="5"/>
      <c r="T82" s="5"/>
      <c r="U82" s="3"/>
      <c r="V82" s="3"/>
      <c r="W82" s="5"/>
    </row>
    <row r="83" spans="2:23" x14ac:dyDescent="0.35">
      <c r="B83" s="6" t="s">
        <v>76</v>
      </c>
      <c r="C83" s="7">
        <f t="shared" si="13"/>
        <v>-2003450.5636296037</v>
      </c>
      <c r="D83" s="3">
        <f t="shared" si="8"/>
        <v>1447057.4316332606</v>
      </c>
      <c r="E83" s="5">
        <f t="shared" si="9"/>
        <v>556393.13199634315</v>
      </c>
      <c r="F83" s="5">
        <f t="shared" si="10"/>
        <v>122966243.99237956</v>
      </c>
      <c r="G83" s="3">
        <f t="shared" si="11"/>
        <v>-185283.95568656386</v>
      </c>
      <c r="H83" s="3"/>
      <c r="I83" s="18"/>
      <c r="J83" s="10">
        <f t="shared" si="12"/>
        <v>-2188734.5193161676</v>
      </c>
      <c r="K83" s="5"/>
      <c r="P83" s="6"/>
      <c r="Q83" s="7"/>
      <c r="R83" s="3"/>
      <c r="S83" s="5"/>
      <c r="T83" s="5"/>
      <c r="U83" s="3"/>
      <c r="V83" s="3"/>
      <c r="W83" s="5"/>
    </row>
    <row r="84" spans="2:23" x14ac:dyDescent="0.35">
      <c r="B84" s="6" t="s">
        <v>77</v>
      </c>
      <c r="C84" s="7">
        <f t="shared" si="13"/>
        <v>-2003450.5636296037</v>
      </c>
      <c r="D84" s="3">
        <f t="shared" si="8"/>
        <v>1440539.3323171462</v>
      </c>
      <c r="E84" s="5">
        <f t="shared" si="9"/>
        <v>562911.23131245747</v>
      </c>
      <c r="F84" s="5">
        <f t="shared" si="10"/>
        <v>122403332.76106711</v>
      </c>
      <c r="G84" s="3">
        <f t="shared" si="11"/>
        <v>-184449.36598856933</v>
      </c>
      <c r="H84" s="3"/>
      <c r="I84" s="18"/>
      <c r="J84" s="10">
        <f t="shared" si="12"/>
        <v>-2187899.9296181733</v>
      </c>
      <c r="K84" s="5"/>
      <c r="P84" s="6"/>
      <c r="Q84" s="7"/>
      <c r="R84" s="3"/>
      <c r="S84" s="5"/>
      <c r="T84" s="5"/>
      <c r="U84" s="3"/>
      <c r="V84" s="3"/>
      <c r="W84" s="5"/>
    </row>
    <row r="85" spans="2:23" x14ac:dyDescent="0.35">
      <c r="B85" s="6" t="s">
        <v>78</v>
      </c>
      <c r="C85" s="7">
        <f t="shared" si="13"/>
        <v>-2003450.5636296037</v>
      </c>
      <c r="D85" s="3">
        <f t="shared" si="8"/>
        <v>1433944.8740090686</v>
      </c>
      <c r="E85" s="5">
        <f t="shared" si="9"/>
        <v>569505.68962053512</v>
      </c>
      <c r="F85" s="5">
        <f t="shared" si="10"/>
        <v>121833827.07144657</v>
      </c>
      <c r="G85" s="3">
        <f t="shared" si="11"/>
        <v>-183604.99914160065</v>
      </c>
      <c r="H85" s="3"/>
      <c r="I85" s="18"/>
      <c r="J85" s="10">
        <f t="shared" si="12"/>
        <v>-2187055.5627712044</v>
      </c>
      <c r="K85" s="5"/>
      <c r="P85" s="6"/>
      <c r="Q85" s="7"/>
      <c r="R85" s="3"/>
      <c r="S85" s="5"/>
      <c r="T85" s="5"/>
      <c r="U85" s="3"/>
      <c r="V85" s="3"/>
      <c r="W85" s="5"/>
    </row>
    <row r="86" spans="2:23" x14ac:dyDescent="0.35">
      <c r="B86" s="6" t="s">
        <v>79</v>
      </c>
      <c r="C86" s="7">
        <f t="shared" si="13"/>
        <v>-2003450.5636296037</v>
      </c>
      <c r="D86" s="3">
        <f t="shared" si="8"/>
        <v>1427273.1621697801</v>
      </c>
      <c r="E86" s="5">
        <f t="shared" si="9"/>
        <v>576177.4014598236</v>
      </c>
      <c r="F86" s="5">
        <f t="shared" si="10"/>
        <v>121257649.66998674</v>
      </c>
      <c r="G86" s="3">
        <f t="shared" si="11"/>
        <v>-182750.74060716984</v>
      </c>
      <c r="H86" s="3"/>
      <c r="I86" s="18"/>
      <c r="J86" s="10">
        <f t="shared" si="12"/>
        <v>-2186201.3042367734</v>
      </c>
      <c r="K86" s="5"/>
      <c r="P86" s="6"/>
      <c r="Q86" s="7"/>
      <c r="R86" s="3"/>
      <c r="S86" s="5"/>
      <c r="T86" s="5"/>
      <c r="U86" s="3"/>
      <c r="V86" s="3"/>
      <c r="W86" s="5"/>
    </row>
    <row r="87" spans="2:23" x14ac:dyDescent="0.35">
      <c r="B87" s="6" t="s">
        <v>80</v>
      </c>
      <c r="C87" s="7">
        <f t="shared" si="13"/>
        <v>-2003450.5636296037</v>
      </c>
      <c r="D87" s="3">
        <f t="shared" si="8"/>
        <v>1420523.2917805812</v>
      </c>
      <c r="E87" s="5">
        <f t="shared" si="9"/>
        <v>582927.27184902248</v>
      </c>
      <c r="F87" s="5">
        <f t="shared" si="10"/>
        <v>120674722.39813772</v>
      </c>
      <c r="G87" s="3">
        <f t="shared" si="11"/>
        <v>-181886.47450498011</v>
      </c>
      <c r="H87" s="3"/>
      <c r="I87" s="18"/>
      <c r="J87" s="10">
        <f t="shared" si="12"/>
        <v>-2185337.0381345837</v>
      </c>
      <c r="K87" s="5"/>
      <c r="P87" s="6"/>
      <c r="Q87" s="7"/>
      <c r="R87" s="3"/>
      <c r="S87" s="5"/>
      <c r="T87" s="5"/>
      <c r="U87" s="3"/>
      <c r="V87" s="3"/>
      <c r="W87" s="5"/>
    </row>
    <row r="88" spans="2:23" x14ac:dyDescent="0.35">
      <c r="B88" s="6" t="s">
        <v>81</v>
      </c>
      <c r="C88" s="7">
        <f t="shared" si="13"/>
        <v>-2003450.5636296037</v>
      </c>
      <c r="D88" s="3">
        <f t="shared" si="8"/>
        <v>1413694.3472205531</v>
      </c>
      <c r="E88" s="5">
        <f t="shared" si="9"/>
        <v>589756.21640905063</v>
      </c>
      <c r="F88" s="5">
        <f t="shared" si="10"/>
        <v>120084966.18172866</v>
      </c>
      <c r="G88" s="3">
        <f t="shared" si="11"/>
        <v>-181012.08359720657</v>
      </c>
      <c r="H88" s="3"/>
      <c r="I88" s="18"/>
      <c r="J88" s="10">
        <f t="shared" si="12"/>
        <v>-2184462.6472268105</v>
      </c>
      <c r="K88" s="5"/>
      <c r="P88" s="6"/>
      <c r="Q88" s="7"/>
      <c r="R88" s="3"/>
      <c r="S88" s="5"/>
      <c r="T88" s="5"/>
      <c r="U88" s="3"/>
      <c r="V88" s="3"/>
      <c r="W88" s="5"/>
    </row>
    <row r="89" spans="2:23" x14ac:dyDescent="0.35">
      <c r="B89" s="6" t="s">
        <v>82</v>
      </c>
      <c r="C89" s="7">
        <f t="shared" si="13"/>
        <v>-2003450.5636296037</v>
      </c>
      <c r="D89" s="3">
        <f t="shared" si="8"/>
        <v>1406785.4021423541</v>
      </c>
      <c r="E89" s="5">
        <f t="shared" si="9"/>
        <v>596665.16148724966</v>
      </c>
      <c r="F89" s="5">
        <f t="shared" si="10"/>
        <v>119488301.02024141</v>
      </c>
      <c r="G89" s="3">
        <f t="shared" si="11"/>
        <v>-180127.44927259299</v>
      </c>
      <c r="H89" s="3"/>
      <c r="I89" s="18"/>
      <c r="J89" s="10">
        <f t="shared" si="12"/>
        <v>-2183578.0129021965</v>
      </c>
      <c r="K89" s="5"/>
      <c r="P89" s="6"/>
      <c r="Q89" s="7"/>
      <c r="R89" s="3"/>
      <c r="S89" s="5"/>
      <c r="T89" s="5"/>
      <c r="U89" s="3"/>
      <c r="V89" s="3"/>
      <c r="W89" s="5"/>
    </row>
    <row r="90" spans="2:23" x14ac:dyDescent="0.35">
      <c r="B90" s="6" t="s">
        <v>83</v>
      </c>
      <c r="C90" s="7">
        <f t="shared" si="13"/>
        <v>-2003450.5636296037</v>
      </c>
      <c r="D90" s="3">
        <f t="shared" si="8"/>
        <v>1399795.5193465599</v>
      </c>
      <c r="E90" s="5">
        <f t="shared" si="9"/>
        <v>603655.04428304383</v>
      </c>
      <c r="F90" s="5">
        <f t="shared" si="10"/>
        <v>118884645.97595836</v>
      </c>
      <c r="G90" s="3">
        <f t="shared" si="11"/>
        <v>-179232.4515303621</v>
      </c>
      <c r="H90" s="3"/>
      <c r="I90" s="18"/>
      <c r="J90" s="10">
        <f t="shared" si="12"/>
        <v>-2182683.015159966</v>
      </c>
      <c r="K90" s="5"/>
      <c r="P90" s="6"/>
      <c r="Q90" s="7"/>
      <c r="R90" s="3"/>
      <c r="S90" s="5"/>
      <c r="T90" s="5"/>
      <c r="U90" s="3"/>
      <c r="V90" s="3"/>
      <c r="W90" s="5"/>
    </row>
    <row r="91" spans="2:23" x14ac:dyDescent="0.35">
      <c r="B91" s="6" t="s">
        <v>84</v>
      </c>
      <c r="C91" s="7">
        <f t="shared" si="13"/>
        <v>-2003450.5636296037</v>
      </c>
      <c r="D91" s="3">
        <f t="shared" si="8"/>
        <v>1392723.7506545337</v>
      </c>
      <c r="E91" s="5">
        <f t="shared" ref="E91:E96" si="14">+-C91-D91</f>
        <v>610726.81297506997</v>
      </c>
      <c r="F91" s="5">
        <f t="shared" ref="F91:F96" si="15">+F90-E91</f>
        <v>118273919.1629833</v>
      </c>
      <c r="G91" s="3">
        <f t="shared" si="11"/>
        <v>-178326.96896393754</v>
      </c>
      <c r="H91" s="3"/>
      <c r="I91" s="18"/>
      <c r="J91" s="10">
        <f t="shared" ref="J91:J96" si="16">+C91+G91</f>
        <v>-2181777.5325935413</v>
      </c>
      <c r="K91" s="5"/>
      <c r="P91" s="6"/>
      <c r="Q91" s="7"/>
      <c r="R91" s="3"/>
      <c r="S91" s="5"/>
      <c r="T91" s="5"/>
      <c r="U91" s="3"/>
      <c r="V91" s="3"/>
      <c r="W91" s="5"/>
    </row>
    <row r="92" spans="2:23" x14ac:dyDescent="0.35">
      <c r="B92" s="6" t="s">
        <v>85</v>
      </c>
      <c r="C92" s="7">
        <f t="shared" si="13"/>
        <v>-2003450.5636296037</v>
      </c>
      <c r="D92" s="3">
        <f t="shared" si="8"/>
        <v>1385569.136779804</v>
      </c>
      <c r="E92" s="5">
        <f t="shared" si="14"/>
        <v>617881.4268497997</v>
      </c>
      <c r="F92" s="5">
        <f t="shared" si="15"/>
        <v>117656037.7361335</v>
      </c>
      <c r="G92" s="3">
        <f t="shared" si="11"/>
        <v>-177410.87874447496</v>
      </c>
      <c r="H92" s="3"/>
      <c r="I92" s="18"/>
      <c r="J92" s="10">
        <f t="shared" si="16"/>
        <v>-2180861.4423740786</v>
      </c>
      <c r="K92" s="5"/>
      <c r="P92" s="6"/>
      <c r="Q92" s="7"/>
      <c r="R92" s="3"/>
      <c r="S92" s="5"/>
      <c r="T92" s="5"/>
      <c r="U92" s="3"/>
      <c r="V92" s="3"/>
      <c r="W92" s="5"/>
    </row>
    <row r="93" spans="2:23" x14ac:dyDescent="0.35">
      <c r="B93" s="6" t="s">
        <v>86</v>
      </c>
      <c r="C93" s="7">
        <f t="shared" si="13"/>
        <v>-2003450.5636296037</v>
      </c>
      <c r="D93" s="3">
        <f t="shared" si="8"/>
        <v>1378330.7071979381</v>
      </c>
      <c r="E93" s="5">
        <f t="shared" si="14"/>
        <v>625119.8564316656</v>
      </c>
      <c r="F93" s="5">
        <f t="shared" si="15"/>
        <v>117030917.87970184</v>
      </c>
      <c r="G93" s="3">
        <f t="shared" si="11"/>
        <v>-176484.05660420025</v>
      </c>
      <c r="H93" s="3"/>
      <c r="I93" s="18"/>
      <c r="J93" s="10">
        <f t="shared" si="16"/>
        <v>-2179934.620233804</v>
      </c>
      <c r="K93" s="5"/>
      <c r="P93" s="6"/>
      <c r="Q93" s="7"/>
      <c r="R93" s="3"/>
      <c r="S93" s="5"/>
      <c r="T93" s="5"/>
      <c r="U93" s="3"/>
      <c r="V93" s="3"/>
      <c r="W93" s="5"/>
    </row>
    <row r="94" spans="2:23" x14ac:dyDescent="0.35">
      <c r="B94" s="6" t="s">
        <v>87</v>
      </c>
      <c r="C94" s="7">
        <f t="shared" si="13"/>
        <v>-2003450.5636296037</v>
      </c>
      <c r="D94" s="3">
        <f t="shared" si="8"/>
        <v>1371007.4800148904</v>
      </c>
      <c r="E94" s="5">
        <f t="shared" si="14"/>
        <v>632443.08361471328</v>
      </c>
      <c r="F94" s="5">
        <f t="shared" si="15"/>
        <v>116398474.79608713</v>
      </c>
      <c r="G94" s="3">
        <f t="shared" si="11"/>
        <v>-175546.37681955274</v>
      </c>
      <c r="H94" s="3"/>
      <c r="I94" s="18"/>
      <c r="J94" s="10">
        <f t="shared" si="16"/>
        <v>-2178996.9404491563</v>
      </c>
      <c r="K94" s="5"/>
      <c r="P94" s="6"/>
      <c r="Q94" s="7"/>
      <c r="R94" s="3"/>
      <c r="S94" s="5"/>
      <c r="T94" s="5"/>
      <c r="U94" s="3"/>
      <c r="V94" s="3"/>
      <c r="W94" s="5"/>
    </row>
    <row r="95" spans="2:23" x14ac:dyDescent="0.35">
      <c r="B95" s="6" t="s">
        <v>88</v>
      </c>
      <c r="C95" s="7">
        <f t="shared" si="13"/>
        <v>-2003450.5636296037</v>
      </c>
      <c r="D95" s="3">
        <f t="shared" si="8"/>
        <v>1363598.4618338083</v>
      </c>
      <c r="E95" s="5">
        <f t="shared" si="14"/>
        <v>639852.10179579537</v>
      </c>
      <c r="F95" s="5">
        <f t="shared" si="15"/>
        <v>115758622.69429134</v>
      </c>
      <c r="G95" s="3">
        <f t="shared" si="11"/>
        <v>-174597.7121941307</v>
      </c>
      <c r="H95" s="3"/>
      <c r="I95" s="18"/>
      <c r="J95" s="10">
        <f t="shared" si="16"/>
        <v>-2178048.2758237342</v>
      </c>
      <c r="K95" s="5"/>
      <c r="P95" s="6"/>
      <c r="Q95" s="7"/>
      <c r="R95" s="3"/>
      <c r="S95" s="5"/>
      <c r="T95" s="5"/>
      <c r="U95" s="3"/>
      <c r="V95" s="3"/>
      <c r="W95" s="5"/>
    </row>
    <row r="96" spans="2:23" x14ac:dyDescent="0.35">
      <c r="B96" s="6" t="s">
        <v>89</v>
      </c>
      <c r="C96" s="7">
        <f t="shared" si="13"/>
        <v>-2003450.5636296037</v>
      </c>
      <c r="D96" s="3">
        <f t="shared" si="8"/>
        <v>1356102.647620277</v>
      </c>
      <c r="E96" s="5">
        <f t="shared" si="14"/>
        <v>647347.9160093267</v>
      </c>
      <c r="F96" s="5">
        <f t="shared" si="15"/>
        <v>115111274.77828202</v>
      </c>
      <c r="G96" s="3">
        <f t="shared" si="11"/>
        <v>-173637.93404143699</v>
      </c>
      <c r="H96" s="3"/>
      <c r="I96" s="18"/>
      <c r="J96" s="10">
        <f t="shared" si="16"/>
        <v>-2177088.4976710407</v>
      </c>
      <c r="K96" s="5"/>
      <c r="P96" s="6"/>
      <c r="Q96" s="7"/>
      <c r="R96" s="3"/>
      <c r="S96" s="5"/>
      <c r="T96" s="5"/>
      <c r="U96" s="3"/>
      <c r="V96" s="3"/>
      <c r="W96" s="5"/>
    </row>
    <row r="97" spans="2:23" x14ac:dyDescent="0.35">
      <c r="B97" s="6" t="s">
        <v>110</v>
      </c>
      <c r="C97" s="7">
        <f t="shared" si="13"/>
        <v>-2003450.5636296037</v>
      </c>
      <c r="D97" s="3">
        <f t="shared" ref="D97:D160" si="17">+F96*$B$7</f>
        <v>1348519.0205659876</v>
      </c>
      <c r="E97" s="5">
        <f t="shared" ref="E97:E160" si="18">+-C97-D97</f>
        <v>654931.54306361615</v>
      </c>
      <c r="F97" s="5">
        <f t="shared" ref="F97:F160" si="19">+F96-E97</f>
        <v>114456343.23521841</v>
      </c>
      <c r="G97" s="3">
        <f t="shared" ref="G97:G160" si="20">+-F96/1000000*$B$8</f>
        <v>-172666.91216742303</v>
      </c>
      <c r="H97" s="3"/>
      <c r="I97" s="18"/>
      <c r="J97" s="10">
        <f t="shared" ref="J97:J160" si="21">+C97+G97</f>
        <v>-2176117.4757970269</v>
      </c>
      <c r="K97" s="5"/>
      <c r="P97" s="6"/>
      <c r="Q97" s="7"/>
      <c r="R97" s="3"/>
      <c r="S97" s="5"/>
      <c r="T97" s="5"/>
      <c r="U97" s="3"/>
      <c r="V97" s="3"/>
      <c r="W97" s="5"/>
    </row>
    <row r="98" spans="2:23" x14ac:dyDescent="0.35">
      <c r="B98" s="6" t="s">
        <v>111</v>
      </c>
      <c r="C98" s="7">
        <f t="shared" si="13"/>
        <v>-2003450.5636296037</v>
      </c>
      <c r="D98" s="3">
        <f t="shared" si="17"/>
        <v>1340846.5519508061</v>
      </c>
      <c r="E98" s="5">
        <f t="shared" si="18"/>
        <v>662604.01167879766</v>
      </c>
      <c r="F98" s="5">
        <f t="shared" si="19"/>
        <v>113793739.22353961</v>
      </c>
      <c r="G98" s="3">
        <f t="shared" si="20"/>
        <v>-171684.51485282762</v>
      </c>
      <c r="H98" s="3"/>
      <c r="I98" s="18"/>
      <c r="J98" s="10">
        <f t="shared" si="21"/>
        <v>-2175135.0784824314</v>
      </c>
      <c r="K98" s="5"/>
      <c r="P98" s="6"/>
      <c r="Q98" s="7"/>
      <c r="R98" s="3"/>
      <c r="S98" s="5"/>
      <c r="T98" s="5"/>
      <c r="U98" s="3"/>
      <c r="V98" s="3"/>
      <c r="W98" s="5"/>
    </row>
    <row r="99" spans="2:23" x14ac:dyDescent="0.35">
      <c r="B99" s="6" t="s">
        <v>112</v>
      </c>
      <c r="C99" s="7">
        <f t="shared" si="13"/>
        <v>-2003450.5636296037</v>
      </c>
      <c r="D99" s="3">
        <f t="shared" si="17"/>
        <v>1333084.2010032274</v>
      </c>
      <c r="E99" s="5">
        <f t="shared" si="18"/>
        <v>670366.36262637633</v>
      </c>
      <c r="F99" s="5">
        <f t="shared" si="19"/>
        <v>113123372.86091323</v>
      </c>
      <c r="G99" s="3">
        <f t="shared" si="20"/>
        <v>-170690.60883530939</v>
      </c>
      <c r="H99" s="3"/>
      <c r="I99" s="18"/>
      <c r="J99" s="10">
        <f t="shared" si="21"/>
        <v>-2174141.1724649132</v>
      </c>
      <c r="K99" s="5"/>
      <c r="P99" s="6"/>
      <c r="Q99" s="7"/>
      <c r="R99" s="3"/>
      <c r="S99" s="5"/>
      <c r="T99" s="5"/>
      <c r="U99" s="3"/>
      <c r="V99" s="3"/>
      <c r="W99" s="5"/>
    </row>
    <row r="100" spans="2:23" x14ac:dyDescent="0.35">
      <c r="B100" s="6" t="s">
        <v>113</v>
      </c>
      <c r="C100" s="7">
        <f t="shared" si="13"/>
        <v>-2003450.5636296037</v>
      </c>
      <c r="D100" s="3">
        <f t="shared" si="17"/>
        <v>1325230.9147591949</v>
      </c>
      <c r="E100" s="5">
        <f t="shared" si="18"/>
        <v>678219.64887040877</v>
      </c>
      <c r="F100" s="5">
        <f t="shared" si="19"/>
        <v>112445153.21204282</v>
      </c>
      <c r="G100" s="3">
        <f t="shared" si="20"/>
        <v>-169685.05929136986</v>
      </c>
      <c r="H100" s="3"/>
      <c r="I100" s="18"/>
      <c r="J100" s="10">
        <f t="shared" si="21"/>
        <v>-2173135.6229209737</v>
      </c>
      <c r="K100" s="5"/>
      <c r="P100" s="6"/>
      <c r="Q100" s="7"/>
      <c r="R100" s="3"/>
      <c r="S100" s="5"/>
      <c r="T100" s="5"/>
      <c r="U100" s="3"/>
      <c r="V100" s="3"/>
      <c r="W100" s="5"/>
    </row>
    <row r="101" spans="2:23" x14ac:dyDescent="0.35">
      <c r="B101" s="6" t="s">
        <v>114</v>
      </c>
      <c r="C101" s="7">
        <f t="shared" si="13"/>
        <v>-2003450.5636296037</v>
      </c>
      <c r="D101" s="3">
        <f t="shared" si="17"/>
        <v>1317285.627919266</v>
      </c>
      <c r="E101" s="5">
        <f t="shared" si="18"/>
        <v>686164.93571033771</v>
      </c>
      <c r="F101" s="5">
        <f t="shared" si="19"/>
        <v>111758988.27633248</v>
      </c>
      <c r="G101" s="3">
        <f t="shared" si="20"/>
        <v>-168667.72981806422</v>
      </c>
      <c r="H101" s="3"/>
      <c r="I101" s="18"/>
      <c r="J101" s="10">
        <f t="shared" si="21"/>
        <v>-2172118.2934476677</v>
      </c>
      <c r="K101" s="5"/>
      <c r="P101" s="6"/>
      <c r="Q101" s="7"/>
      <c r="R101" s="3"/>
      <c r="S101" s="5"/>
      <c r="T101" s="5"/>
      <c r="U101" s="3"/>
      <c r="V101" s="3"/>
      <c r="W101" s="5"/>
    </row>
    <row r="102" spans="2:23" x14ac:dyDescent="0.35">
      <c r="B102" s="6" t="s">
        <v>115</v>
      </c>
      <c r="C102" s="7">
        <f t="shared" si="13"/>
        <v>-2003450.5636296037</v>
      </c>
      <c r="D102" s="3">
        <f t="shared" si="17"/>
        <v>1309247.262704103</v>
      </c>
      <c r="E102" s="5">
        <f t="shared" si="18"/>
        <v>694203.30092550069</v>
      </c>
      <c r="F102" s="5">
        <f t="shared" si="19"/>
        <v>111064784.97540697</v>
      </c>
      <c r="G102" s="3">
        <f t="shared" si="20"/>
        <v>-167638.48241449872</v>
      </c>
      <c r="H102" s="3"/>
      <c r="I102" s="18"/>
      <c r="J102" s="10">
        <f t="shared" si="21"/>
        <v>-2171089.0460441024</v>
      </c>
      <c r="K102" s="5"/>
      <c r="P102" s="6"/>
      <c r="Q102" s="7"/>
      <c r="R102" s="3"/>
      <c r="S102" s="5"/>
      <c r="T102" s="5"/>
      <c r="U102" s="3"/>
      <c r="V102" s="3"/>
      <c r="W102" s="5"/>
    </row>
    <row r="103" spans="2:23" x14ac:dyDescent="0.35">
      <c r="B103" s="6" t="s">
        <v>116</v>
      </c>
      <c r="C103" s="7">
        <f t="shared" si="13"/>
        <v>-2003450.5636296037</v>
      </c>
      <c r="D103" s="3">
        <f t="shared" si="17"/>
        <v>1301114.7287082726</v>
      </c>
      <c r="E103" s="5">
        <f t="shared" si="18"/>
        <v>702335.83492133114</v>
      </c>
      <c r="F103" s="5">
        <f t="shared" si="19"/>
        <v>110362449.14048564</v>
      </c>
      <c r="G103" s="3">
        <f t="shared" si="20"/>
        <v>-166597.17746311048</v>
      </c>
      <c r="H103" s="3"/>
      <c r="I103" s="18"/>
      <c r="J103" s="10">
        <f t="shared" si="21"/>
        <v>-2170047.741092714</v>
      </c>
      <c r="K103" s="5"/>
      <c r="P103" s="6"/>
      <c r="Q103" s="7"/>
      <c r="R103" s="3"/>
      <c r="S103" s="5"/>
      <c r="T103" s="5"/>
      <c r="U103" s="3"/>
      <c r="V103" s="3"/>
      <c r="W103" s="5"/>
    </row>
    <row r="104" spans="2:23" x14ac:dyDescent="0.35">
      <c r="B104" s="6" t="s">
        <v>117</v>
      </c>
      <c r="C104" s="7">
        <f t="shared" si="13"/>
        <v>-2003450.5636296037</v>
      </c>
      <c r="D104" s="3">
        <f t="shared" si="17"/>
        <v>1292886.9227523333</v>
      </c>
      <c r="E104" s="5">
        <f t="shared" si="18"/>
        <v>710563.64087727037</v>
      </c>
      <c r="F104" s="5">
        <f t="shared" si="19"/>
        <v>109651885.49960837</v>
      </c>
      <c r="G104" s="3">
        <f t="shared" si="20"/>
        <v>-165543.67371072847</v>
      </c>
      <c r="H104" s="3"/>
      <c r="I104" s="18"/>
      <c r="J104" s="10">
        <f t="shared" si="21"/>
        <v>-2168994.237340332</v>
      </c>
      <c r="K104" s="5"/>
      <c r="P104" s="6"/>
      <c r="Q104" s="7"/>
      <c r="R104" s="3"/>
      <c r="S104" s="5"/>
      <c r="T104" s="5"/>
      <c r="U104" s="3"/>
      <c r="V104" s="3"/>
      <c r="W104" s="5"/>
    </row>
    <row r="105" spans="2:23" x14ac:dyDescent="0.35">
      <c r="B105" s="6" t="s">
        <v>118</v>
      </c>
      <c r="C105" s="7">
        <f t="shared" si="13"/>
        <v>-2003450.5636296037</v>
      </c>
      <c r="D105" s="3">
        <f t="shared" si="17"/>
        <v>1284562.7287331875</v>
      </c>
      <c r="E105" s="5">
        <f t="shared" si="18"/>
        <v>718887.83489641617</v>
      </c>
      <c r="F105" s="5">
        <f t="shared" si="19"/>
        <v>108932997.66471195</v>
      </c>
      <c r="G105" s="3">
        <f t="shared" si="20"/>
        <v>-164477.82824941256</v>
      </c>
      <c r="H105" s="3"/>
      <c r="I105" s="18"/>
      <c r="J105" s="10">
        <f t="shared" si="21"/>
        <v>-2167928.3918790161</v>
      </c>
      <c r="K105" s="5"/>
      <c r="P105" s="6"/>
      <c r="Q105" s="7"/>
      <c r="R105" s="3"/>
      <c r="S105" s="5"/>
      <c r="T105" s="5"/>
      <c r="U105" s="3"/>
      <c r="V105" s="3"/>
      <c r="W105" s="5"/>
    </row>
    <row r="106" spans="2:23" x14ac:dyDescent="0.35">
      <c r="B106" s="6" t="s">
        <v>119</v>
      </c>
      <c r="C106" s="7">
        <f t="shared" si="13"/>
        <v>-2003450.5636296037</v>
      </c>
      <c r="D106" s="3">
        <f t="shared" si="17"/>
        <v>1276141.0174726828</v>
      </c>
      <c r="E106" s="5">
        <f t="shared" si="18"/>
        <v>727309.54615692096</v>
      </c>
      <c r="F106" s="5">
        <f t="shared" si="19"/>
        <v>108205688.11855502</v>
      </c>
      <c r="G106" s="3">
        <f t="shared" si="20"/>
        <v>-163399.49649706791</v>
      </c>
      <c r="H106" s="3"/>
      <c r="I106" s="18"/>
      <c r="J106" s="10">
        <f t="shared" si="21"/>
        <v>-2166850.0601266716</v>
      </c>
      <c r="K106" s="5"/>
      <c r="P106" s="6"/>
      <c r="Q106" s="7"/>
      <c r="R106" s="3"/>
      <c r="S106" s="5"/>
      <c r="T106" s="5"/>
      <c r="U106" s="3"/>
      <c r="V106" s="3"/>
      <c r="W106" s="5"/>
    </row>
    <row r="107" spans="2:23" x14ac:dyDescent="0.35">
      <c r="B107" s="6" t="s">
        <v>120</v>
      </c>
      <c r="C107" s="7">
        <f t="shared" si="13"/>
        <v>-2003450.5636296037</v>
      </c>
      <c r="D107" s="3">
        <f t="shared" si="17"/>
        <v>1267620.646564438</v>
      </c>
      <c r="E107" s="5">
        <f t="shared" si="18"/>
        <v>735829.9170651657</v>
      </c>
      <c r="F107" s="5">
        <f t="shared" si="19"/>
        <v>107469858.20148987</v>
      </c>
      <c r="G107" s="3">
        <f t="shared" si="20"/>
        <v>-162308.53217783256</v>
      </c>
      <c r="H107" s="3"/>
      <c r="I107" s="18"/>
      <c r="J107" s="10">
        <f t="shared" si="21"/>
        <v>-2165759.0958074364</v>
      </c>
      <c r="K107" s="5"/>
      <c r="P107" s="6"/>
      <c r="Q107" s="7"/>
      <c r="R107" s="3"/>
      <c r="S107" s="5"/>
      <c r="T107" s="5"/>
      <c r="U107" s="3"/>
      <c r="V107" s="3"/>
      <c r="W107" s="5"/>
    </row>
    <row r="108" spans="2:23" x14ac:dyDescent="0.35">
      <c r="B108" s="6" t="s">
        <v>121</v>
      </c>
      <c r="C108" s="7">
        <f t="shared" si="13"/>
        <v>-2003450.5636296037</v>
      </c>
      <c r="D108" s="3">
        <f t="shared" si="17"/>
        <v>1259000.4602188771</v>
      </c>
      <c r="E108" s="5">
        <f t="shared" si="18"/>
        <v>744450.10341072665</v>
      </c>
      <c r="F108" s="5">
        <f t="shared" si="19"/>
        <v>106725408.09807914</v>
      </c>
      <c r="G108" s="3">
        <f t="shared" si="20"/>
        <v>-161204.78730223479</v>
      </c>
      <c r="H108" s="3"/>
      <c r="I108" s="18"/>
      <c r="J108" s="10">
        <f t="shared" si="21"/>
        <v>-2164655.3509318386</v>
      </c>
      <c r="K108" s="5"/>
      <c r="P108" s="6"/>
      <c r="Q108" s="7"/>
      <c r="R108" s="3"/>
      <c r="S108" s="5"/>
      <c r="T108" s="5"/>
      <c r="U108" s="3"/>
      <c r="V108" s="3"/>
      <c r="W108" s="5"/>
    </row>
    <row r="109" spans="2:23" x14ac:dyDescent="0.35">
      <c r="B109" s="6" t="s">
        <v>122</v>
      </c>
      <c r="C109" s="7">
        <f t="shared" si="13"/>
        <v>-2003450.5636296037</v>
      </c>
      <c r="D109" s="3">
        <f t="shared" si="17"/>
        <v>1250279.2891064442</v>
      </c>
      <c r="E109" s="5">
        <f t="shared" si="18"/>
        <v>753171.27452315949</v>
      </c>
      <c r="F109" s="5">
        <f t="shared" si="19"/>
        <v>105972236.82355599</v>
      </c>
      <c r="G109" s="3">
        <f t="shared" si="20"/>
        <v>-160088.11214711872</v>
      </c>
      <c r="H109" s="3"/>
      <c r="I109" s="18"/>
      <c r="J109" s="10">
        <f t="shared" si="21"/>
        <v>-2163538.6757767224</v>
      </c>
      <c r="K109" s="5"/>
      <c r="P109" s="6"/>
      <c r="Q109" s="7"/>
      <c r="R109" s="3"/>
      <c r="S109" s="5"/>
      <c r="T109" s="5"/>
      <c r="U109" s="3"/>
      <c r="V109" s="3"/>
      <c r="W109" s="5"/>
    </row>
    <row r="110" spans="2:23" x14ac:dyDescent="0.35">
      <c r="B110" s="6" t="s">
        <v>123</v>
      </c>
      <c r="C110" s="7">
        <f t="shared" si="13"/>
        <v>-2003450.5636296037</v>
      </c>
      <c r="D110" s="3">
        <f t="shared" si="17"/>
        <v>1241455.9501989854</v>
      </c>
      <c r="E110" s="5">
        <f t="shared" si="18"/>
        <v>761994.61343061831</v>
      </c>
      <c r="F110" s="5">
        <f t="shared" si="19"/>
        <v>105210242.21012537</v>
      </c>
      <c r="G110" s="3">
        <f t="shared" si="20"/>
        <v>-158958.35523533399</v>
      </c>
      <c r="H110" s="3"/>
      <c r="I110" s="18"/>
      <c r="J110" s="10">
        <f t="shared" si="21"/>
        <v>-2162408.9188649375</v>
      </c>
      <c r="K110" s="5"/>
      <c r="P110" s="6"/>
      <c r="Q110" s="7"/>
      <c r="R110" s="3"/>
      <c r="S110" s="5"/>
      <c r="T110" s="5"/>
      <c r="U110" s="3"/>
      <c r="V110" s="3"/>
      <c r="W110" s="5"/>
    </row>
    <row r="111" spans="2:23" x14ac:dyDescent="0.35">
      <c r="B111" s="6" t="s">
        <v>124</v>
      </c>
      <c r="C111" s="7">
        <f t="shared" si="13"/>
        <v>-2003450.5636296037</v>
      </c>
      <c r="D111" s="3">
        <f t="shared" si="17"/>
        <v>1232529.2466092699</v>
      </c>
      <c r="E111" s="5">
        <f t="shared" si="18"/>
        <v>770921.31702033384</v>
      </c>
      <c r="F111" s="5">
        <f t="shared" si="19"/>
        <v>104439320.89310504</v>
      </c>
      <c r="G111" s="3">
        <f t="shared" si="20"/>
        <v>-157815.36331518806</v>
      </c>
      <c r="H111" s="3"/>
      <c r="I111" s="18"/>
      <c r="J111" s="10">
        <f t="shared" si="21"/>
        <v>-2161265.9269447918</v>
      </c>
      <c r="K111" s="5"/>
      <c r="P111" s="6"/>
      <c r="Q111" s="7"/>
      <c r="R111" s="3"/>
      <c r="S111" s="5"/>
      <c r="T111" s="5"/>
      <c r="U111" s="3"/>
      <c r="V111" s="3"/>
      <c r="W111" s="5"/>
    </row>
    <row r="112" spans="2:23" x14ac:dyDescent="0.35">
      <c r="B112" s="6" t="s">
        <v>125</v>
      </c>
      <c r="C112" s="7">
        <f t="shared" si="13"/>
        <v>-2003450.5636296037</v>
      </c>
      <c r="D112" s="3">
        <f t="shared" si="17"/>
        <v>1223497.9674286328</v>
      </c>
      <c r="E112" s="5">
        <f t="shared" si="18"/>
        <v>779952.59620097093</v>
      </c>
      <c r="F112" s="5">
        <f t="shared" si="19"/>
        <v>103659368.29690407</v>
      </c>
      <c r="G112" s="3">
        <f t="shared" si="20"/>
        <v>-156658.98133965756</v>
      </c>
      <c r="H112" s="3"/>
      <c r="I112" s="18"/>
      <c r="J112" s="10">
        <f t="shared" si="21"/>
        <v>-2160109.5449692612</v>
      </c>
      <c r="K112" s="5"/>
      <c r="P112" s="6"/>
      <c r="Q112" s="7"/>
      <c r="R112" s="3"/>
      <c r="S112" s="5"/>
      <c r="T112" s="5"/>
      <c r="U112" s="3"/>
      <c r="V112" s="3"/>
      <c r="W112" s="5"/>
    </row>
    <row r="113" spans="2:23" x14ac:dyDescent="0.35">
      <c r="B113" s="6" t="s">
        <v>126</v>
      </c>
      <c r="C113" s="7">
        <f t="shared" si="13"/>
        <v>-2003450.5636296037</v>
      </c>
      <c r="D113" s="3">
        <f t="shared" si="17"/>
        <v>1214360.8875627145</v>
      </c>
      <c r="E113" s="5">
        <f t="shared" si="18"/>
        <v>789089.67606688919</v>
      </c>
      <c r="F113" s="5">
        <f t="shared" si="19"/>
        <v>102870278.62083718</v>
      </c>
      <c r="G113" s="3">
        <f t="shared" si="20"/>
        <v>-155489.05244535612</v>
      </c>
      <c r="H113" s="3"/>
      <c r="I113" s="18"/>
      <c r="J113" s="10">
        <f t="shared" si="21"/>
        <v>-2158939.6160749597</v>
      </c>
      <c r="K113" s="5"/>
      <c r="P113" s="6"/>
      <c r="Q113" s="7"/>
      <c r="R113" s="3"/>
      <c r="S113" s="5"/>
      <c r="T113" s="5"/>
      <c r="U113" s="3"/>
      <c r="V113" s="3"/>
      <c r="W113" s="5"/>
    </row>
    <row r="114" spans="2:23" x14ac:dyDescent="0.35">
      <c r="B114" s="6" t="s">
        <v>127</v>
      </c>
      <c r="C114" s="7">
        <f t="shared" si="13"/>
        <v>-2003450.5636296037</v>
      </c>
      <c r="D114" s="3">
        <f t="shared" si="17"/>
        <v>1205116.7675652769</v>
      </c>
      <c r="E114" s="5">
        <f t="shared" si="18"/>
        <v>798333.79606432677</v>
      </c>
      <c r="F114" s="5">
        <f t="shared" si="19"/>
        <v>102071944.82477285</v>
      </c>
      <c r="G114" s="3">
        <f t="shared" si="20"/>
        <v>-154305.41793125577</v>
      </c>
      <c r="H114" s="3"/>
      <c r="I114" s="18"/>
      <c r="J114" s="10">
        <f t="shared" si="21"/>
        <v>-2157755.9815608594</v>
      </c>
      <c r="K114" s="5"/>
      <c r="P114" s="6"/>
      <c r="Q114" s="7"/>
      <c r="R114" s="3"/>
      <c r="S114" s="5"/>
      <c r="T114" s="5"/>
      <c r="U114" s="3"/>
      <c r="V114" s="3"/>
      <c r="W114" s="5"/>
    </row>
    <row r="115" spans="2:23" x14ac:dyDescent="0.35">
      <c r="B115" s="6" t="s">
        <v>128</v>
      </c>
      <c r="C115" s="7">
        <f t="shared" si="13"/>
        <v>-2003450.5636296037</v>
      </c>
      <c r="D115" s="3">
        <f t="shared" si="17"/>
        <v>1195764.3534700722</v>
      </c>
      <c r="E115" s="5">
        <f t="shared" si="18"/>
        <v>807686.21015953156</v>
      </c>
      <c r="F115" s="5">
        <f t="shared" si="19"/>
        <v>101264258.61461332</v>
      </c>
      <c r="G115" s="3">
        <f t="shared" si="20"/>
        <v>-153107.91723715927</v>
      </c>
      <c r="H115" s="3"/>
      <c r="I115" s="18"/>
      <c r="J115" s="10">
        <f t="shared" si="21"/>
        <v>-2156558.4808667628</v>
      </c>
      <c r="K115" s="5"/>
      <c r="P115" s="6"/>
      <c r="Q115" s="7"/>
      <c r="R115" s="3"/>
      <c r="S115" s="5"/>
      <c r="T115" s="5"/>
      <c r="U115" s="3"/>
      <c r="V115" s="3"/>
      <c r="W115" s="5"/>
    </row>
    <row r="116" spans="2:23" x14ac:dyDescent="0.35">
      <c r="B116" s="6" t="s">
        <v>129</v>
      </c>
      <c r="C116" s="7">
        <f t="shared" si="13"/>
        <v>-2003450.5636296037</v>
      </c>
      <c r="D116" s="3">
        <f t="shared" si="17"/>
        <v>1186302.376620742</v>
      </c>
      <c r="E116" s="5">
        <f t="shared" si="18"/>
        <v>817148.18700886169</v>
      </c>
      <c r="F116" s="5">
        <f t="shared" si="19"/>
        <v>100447110.42760447</v>
      </c>
      <c r="G116" s="3">
        <f t="shared" si="20"/>
        <v>-151896.38792191999</v>
      </c>
      <c r="H116" s="3"/>
      <c r="I116" s="18"/>
      <c r="J116" s="10">
        <f t="shared" si="21"/>
        <v>-2155346.9515515235</v>
      </c>
      <c r="K116" s="5"/>
      <c r="P116" s="6"/>
      <c r="Q116" s="7"/>
      <c r="R116" s="3"/>
      <c r="S116" s="5"/>
      <c r="T116" s="5"/>
      <c r="U116" s="3"/>
      <c r="V116" s="3"/>
      <c r="W116" s="5"/>
    </row>
    <row r="117" spans="2:23" x14ac:dyDescent="0.35">
      <c r="B117" s="6" t="s">
        <v>130</v>
      </c>
      <c r="C117" s="7">
        <f t="shared" si="13"/>
        <v>-2003450.5636296037</v>
      </c>
      <c r="D117" s="3">
        <f t="shared" si="17"/>
        <v>1176729.5534987245</v>
      </c>
      <c r="E117" s="5">
        <f t="shared" si="18"/>
        <v>826721.01013087924</v>
      </c>
      <c r="F117" s="5">
        <f t="shared" si="19"/>
        <v>99620389.417473584</v>
      </c>
      <c r="G117" s="3">
        <f t="shared" si="20"/>
        <v>-150670.6656414067</v>
      </c>
      <c r="H117" s="3"/>
      <c r="I117" s="18"/>
      <c r="J117" s="10">
        <f t="shared" si="21"/>
        <v>-2154121.2292710105</v>
      </c>
      <c r="K117" s="5"/>
      <c r="P117" s="6"/>
      <c r="Q117" s="7"/>
      <c r="R117" s="3"/>
      <c r="S117" s="5"/>
      <c r="T117" s="5"/>
      <c r="U117" s="3"/>
      <c r="V117" s="3"/>
      <c r="W117" s="5"/>
    </row>
    <row r="118" spans="2:23" x14ac:dyDescent="0.35">
      <c r="B118" s="6" t="s">
        <v>131</v>
      </c>
      <c r="C118" s="7">
        <f t="shared" si="13"/>
        <v>-2003450.5636296037</v>
      </c>
      <c r="D118" s="3">
        <f t="shared" si="17"/>
        <v>1167044.5855491438</v>
      </c>
      <c r="E118" s="5">
        <f t="shared" si="18"/>
        <v>836405.97808045987</v>
      </c>
      <c r="F118" s="5">
        <f t="shared" si="19"/>
        <v>98783983.439393118</v>
      </c>
      <c r="G118" s="3">
        <f t="shared" si="20"/>
        <v>-149430.58412621039</v>
      </c>
      <c r="H118" s="3"/>
      <c r="I118" s="18"/>
      <c r="J118" s="10">
        <f t="shared" si="21"/>
        <v>-2152881.1477558143</v>
      </c>
      <c r="K118" s="5"/>
      <c r="P118" s="6"/>
      <c r="Q118" s="7"/>
      <c r="R118" s="3"/>
      <c r="S118" s="5"/>
      <c r="T118" s="5"/>
      <c r="U118" s="3"/>
      <c r="V118" s="3"/>
      <c r="W118" s="5"/>
    </row>
    <row r="119" spans="2:23" x14ac:dyDescent="0.35">
      <c r="B119" s="6" t="s">
        <v>132</v>
      </c>
      <c r="C119" s="7">
        <f t="shared" si="13"/>
        <v>-2003450.5636296037</v>
      </c>
      <c r="D119" s="3">
        <f t="shared" si="17"/>
        <v>1157246.1590046624</v>
      </c>
      <c r="E119" s="5">
        <f t="shared" si="18"/>
        <v>846204.40462494129</v>
      </c>
      <c r="F119" s="5">
        <f t="shared" si="19"/>
        <v>97937779.034768179</v>
      </c>
      <c r="G119" s="3">
        <f t="shared" si="20"/>
        <v>-148175.97515908966</v>
      </c>
      <c r="H119" s="3"/>
      <c r="I119" s="18"/>
      <c r="J119" s="10">
        <f t="shared" si="21"/>
        <v>-2151626.5387886935</v>
      </c>
      <c r="K119" s="5"/>
      <c r="P119" s="6"/>
      <c r="Q119" s="7"/>
      <c r="R119" s="3"/>
      <c r="S119" s="5"/>
      <c r="T119" s="5"/>
      <c r="U119" s="3"/>
      <c r="V119" s="3"/>
      <c r="W119" s="5"/>
    </row>
    <row r="120" spans="2:23" x14ac:dyDescent="0.35">
      <c r="B120" s="6" t="s">
        <v>133</v>
      </c>
      <c r="C120" s="7">
        <f t="shared" si="13"/>
        <v>-2003450.5636296037</v>
      </c>
      <c r="D120" s="3">
        <f t="shared" si="17"/>
        <v>1147332.9447072675</v>
      </c>
      <c r="E120" s="5">
        <f t="shared" si="18"/>
        <v>856117.61892233626</v>
      </c>
      <c r="F120" s="5">
        <f t="shared" si="19"/>
        <v>97081661.415845841</v>
      </c>
      <c r="G120" s="3">
        <f t="shared" si="20"/>
        <v>-146906.66855215229</v>
      </c>
      <c r="H120" s="3"/>
      <c r="I120" s="18"/>
      <c r="J120" s="10">
        <f t="shared" si="21"/>
        <v>-2150357.2321817558</v>
      </c>
      <c r="K120" s="5"/>
      <c r="P120" s="6"/>
      <c r="Q120" s="7"/>
      <c r="R120" s="3"/>
      <c r="S120" s="5"/>
      <c r="T120" s="5"/>
      <c r="U120" s="3"/>
      <c r="V120" s="3"/>
      <c r="W120" s="5"/>
    </row>
    <row r="121" spans="2:23" x14ac:dyDescent="0.35">
      <c r="B121" s="6" t="s">
        <v>134</v>
      </c>
      <c r="C121" s="7">
        <f t="shared" si="13"/>
        <v>-2003450.5636296037</v>
      </c>
      <c r="D121" s="3">
        <f t="shared" si="17"/>
        <v>1137303.5979279694</v>
      </c>
      <c r="E121" s="5">
        <f t="shared" si="18"/>
        <v>866146.9657016343</v>
      </c>
      <c r="F121" s="5">
        <f t="shared" si="19"/>
        <v>96215514.450144202</v>
      </c>
      <c r="G121" s="3">
        <f t="shared" si="20"/>
        <v>-145622.49212376875</v>
      </c>
      <c r="H121" s="3"/>
      <c r="I121" s="18"/>
      <c r="J121" s="10">
        <f t="shared" si="21"/>
        <v>-2149073.0557533726</v>
      </c>
      <c r="K121" s="5"/>
      <c r="P121" s="6"/>
      <c r="Q121" s="7"/>
      <c r="R121" s="3"/>
      <c r="S121" s="5"/>
      <c r="T121" s="5"/>
      <c r="U121" s="3"/>
      <c r="V121" s="3"/>
      <c r="W121" s="5"/>
    </row>
    <row r="122" spans="2:23" x14ac:dyDescent="0.35">
      <c r="B122" s="6" t="s">
        <v>135</v>
      </c>
      <c r="C122" s="7">
        <f t="shared" si="13"/>
        <v>-2003450.5636296037</v>
      </c>
      <c r="D122" s="3">
        <f t="shared" si="17"/>
        <v>1127156.7581843918</v>
      </c>
      <c r="E122" s="5">
        <f t="shared" si="18"/>
        <v>876293.80544521194</v>
      </c>
      <c r="F122" s="5">
        <f t="shared" si="19"/>
        <v>95339220.644698992</v>
      </c>
      <c r="G122" s="3">
        <f t="shared" si="20"/>
        <v>-144323.2716752163</v>
      </c>
      <c r="H122" s="3"/>
      <c r="I122" s="18"/>
      <c r="J122" s="10">
        <f t="shared" si="21"/>
        <v>-2147773.83530482</v>
      </c>
      <c r="K122" s="5"/>
      <c r="P122" s="6"/>
      <c r="Q122" s="7"/>
      <c r="R122" s="3"/>
      <c r="S122" s="5"/>
      <c r="T122" s="5"/>
      <c r="U122" s="3"/>
      <c r="V122" s="3"/>
      <c r="W122" s="5"/>
    </row>
    <row r="123" spans="2:23" x14ac:dyDescent="0.35">
      <c r="B123" s="6" t="s">
        <v>136</v>
      </c>
      <c r="C123" s="7">
        <f t="shared" si="13"/>
        <v>-2003450.5636296037</v>
      </c>
      <c r="D123" s="3">
        <f t="shared" si="17"/>
        <v>1116891.0490562189</v>
      </c>
      <c r="E123" s="5">
        <f t="shared" si="18"/>
        <v>886559.51457338477</v>
      </c>
      <c r="F123" s="5">
        <f t="shared" si="19"/>
        <v>94452661.130125612</v>
      </c>
      <c r="G123" s="3">
        <f t="shared" si="20"/>
        <v>-143008.8309670485</v>
      </c>
      <c r="H123" s="3"/>
      <c r="I123" s="18"/>
      <c r="J123" s="10">
        <f t="shared" si="21"/>
        <v>-2146459.3945966521</v>
      </c>
      <c r="K123" s="5"/>
      <c r="P123" s="6"/>
      <c r="Q123" s="7"/>
      <c r="R123" s="3"/>
      <c r="S123" s="5"/>
      <c r="T123" s="5"/>
      <c r="U123" s="3"/>
      <c r="V123" s="3"/>
      <c r="W123" s="5"/>
    </row>
    <row r="124" spans="2:23" x14ac:dyDescent="0.35">
      <c r="B124" s="6" t="s">
        <v>137</v>
      </c>
      <c r="C124" s="7">
        <f t="shared" si="13"/>
        <v>-2003450.5636296037</v>
      </c>
      <c r="D124" s="3">
        <f t="shared" si="17"/>
        <v>1106505.0779984861</v>
      </c>
      <c r="E124" s="5">
        <f t="shared" si="18"/>
        <v>896945.4856311176</v>
      </c>
      <c r="F124" s="5">
        <f t="shared" si="19"/>
        <v>93555715.644494489</v>
      </c>
      <c r="G124" s="3">
        <f t="shared" si="20"/>
        <v>-141678.99169518842</v>
      </c>
      <c r="H124" s="3"/>
      <c r="I124" s="18"/>
      <c r="J124" s="10">
        <f t="shared" si="21"/>
        <v>-2145129.5553247919</v>
      </c>
      <c r="K124" s="5"/>
      <c r="P124" s="6"/>
      <c r="Q124" s="7"/>
      <c r="R124" s="3"/>
      <c r="S124" s="5"/>
      <c r="T124" s="5"/>
      <c r="U124" s="3"/>
      <c r="V124" s="3"/>
      <c r="W124" s="5"/>
    </row>
    <row r="125" spans="2:23" x14ac:dyDescent="0.35">
      <c r="B125" s="6" t="s">
        <v>138</v>
      </c>
      <c r="C125" s="7">
        <f t="shared" si="13"/>
        <v>-2003450.5636296037</v>
      </c>
      <c r="D125" s="3">
        <f t="shared" si="17"/>
        <v>1095997.4361526801</v>
      </c>
      <c r="E125" s="5">
        <f t="shared" si="18"/>
        <v>907453.12747692363</v>
      </c>
      <c r="F125" s="5">
        <f t="shared" si="19"/>
        <v>92648262.517017558</v>
      </c>
      <c r="G125" s="3">
        <f t="shared" si="20"/>
        <v>-140333.57346674171</v>
      </c>
      <c r="H125" s="3"/>
      <c r="I125" s="18"/>
      <c r="J125" s="10">
        <f t="shared" si="21"/>
        <v>-2143784.1370963454</v>
      </c>
      <c r="K125" s="5"/>
      <c r="P125" s="6"/>
      <c r="Q125" s="7"/>
      <c r="R125" s="3"/>
      <c r="S125" s="5"/>
      <c r="T125" s="5"/>
      <c r="U125" s="3"/>
      <c r="V125" s="3"/>
      <c r="W125" s="5"/>
    </row>
    <row r="126" spans="2:23" x14ac:dyDescent="0.35">
      <c r="B126" s="6" t="s">
        <v>139</v>
      </c>
      <c r="C126" s="7">
        <f t="shared" si="13"/>
        <v>-2003450.5636296037</v>
      </c>
      <c r="D126" s="3">
        <f t="shared" si="17"/>
        <v>1085366.6981556267</v>
      </c>
      <c r="E126" s="5">
        <f t="shared" si="18"/>
        <v>918083.86547397706</v>
      </c>
      <c r="F126" s="5">
        <f t="shared" si="19"/>
        <v>91730178.651543587</v>
      </c>
      <c r="G126" s="3">
        <f t="shared" si="20"/>
        <v>-138972.39377552635</v>
      </c>
      <c r="H126" s="3"/>
      <c r="I126" s="18"/>
      <c r="J126" s="10">
        <f t="shared" si="21"/>
        <v>-2142422.9574051299</v>
      </c>
      <c r="K126" s="5"/>
      <c r="P126" s="6"/>
      <c r="Q126" s="7"/>
      <c r="R126" s="3"/>
      <c r="S126" s="5"/>
      <c r="T126" s="5"/>
      <c r="U126" s="3"/>
      <c r="V126" s="3"/>
      <c r="W126" s="5"/>
    </row>
    <row r="127" spans="2:23" x14ac:dyDescent="0.35">
      <c r="B127" s="6" t="s">
        <v>140</v>
      </c>
      <c r="C127" s="7">
        <f t="shared" si="13"/>
        <v>-2003450.5636296037</v>
      </c>
      <c r="D127" s="3">
        <f t="shared" si="17"/>
        <v>1074611.4219461412</v>
      </c>
      <c r="E127" s="5">
        <f t="shared" si="18"/>
        <v>928839.14168346254</v>
      </c>
      <c r="F127" s="5">
        <f t="shared" si="19"/>
        <v>90801339.509860128</v>
      </c>
      <c r="G127" s="3">
        <f t="shared" si="20"/>
        <v>-137595.26797731538</v>
      </c>
      <c r="H127" s="3"/>
      <c r="I127" s="18"/>
      <c r="J127" s="10">
        <f t="shared" si="21"/>
        <v>-2141045.8316069189</v>
      </c>
      <c r="K127" s="5"/>
      <c r="P127" s="6"/>
      <c r="Q127" s="7"/>
      <c r="R127" s="3"/>
      <c r="S127" s="5"/>
      <c r="T127" s="5"/>
      <c r="U127" s="3"/>
      <c r="V127" s="3"/>
      <c r="W127" s="5"/>
    </row>
    <row r="128" spans="2:23" x14ac:dyDescent="0.35">
      <c r="B128" s="6" t="s">
        <v>141</v>
      </c>
      <c r="C128" s="7">
        <f t="shared" si="13"/>
        <v>-2003450.5636296037</v>
      </c>
      <c r="D128" s="3">
        <f t="shared" si="17"/>
        <v>1063730.1485694116</v>
      </c>
      <c r="E128" s="5">
        <f t="shared" si="18"/>
        <v>939720.41506019211</v>
      </c>
      <c r="F128" s="5">
        <f t="shared" si="19"/>
        <v>89861619.094799936</v>
      </c>
      <c r="G128" s="3">
        <f t="shared" si="20"/>
        <v>-136202.00926479019</v>
      </c>
      <c r="H128" s="3"/>
      <c r="I128" s="18"/>
      <c r="J128" s="10">
        <f t="shared" si="21"/>
        <v>-2139652.5728943939</v>
      </c>
      <c r="K128" s="5"/>
      <c r="P128" s="6"/>
      <c r="Q128" s="7"/>
      <c r="R128" s="3"/>
      <c r="S128" s="5"/>
      <c r="T128" s="5"/>
      <c r="U128" s="3"/>
      <c r="V128" s="3"/>
      <c r="W128" s="5"/>
    </row>
    <row r="129" spans="2:23" x14ac:dyDescent="0.35">
      <c r="B129" s="6" t="s">
        <v>142</v>
      </c>
      <c r="C129" s="7">
        <f t="shared" si="13"/>
        <v>-2003450.5636296037</v>
      </c>
      <c r="D129" s="3">
        <f t="shared" si="17"/>
        <v>1052721.4019790913</v>
      </c>
      <c r="E129" s="5">
        <f t="shared" si="18"/>
        <v>950729.16165051237</v>
      </c>
      <c r="F129" s="5">
        <f t="shared" si="19"/>
        <v>88910889.933149427</v>
      </c>
      <c r="G129" s="3">
        <f t="shared" si="20"/>
        <v>-134792.4286421999</v>
      </c>
      <c r="H129" s="3"/>
      <c r="I129" s="18"/>
      <c r="J129" s="10">
        <f t="shared" si="21"/>
        <v>-2138242.9922718038</v>
      </c>
      <c r="K129" s="5"/>
      <c r="P129" s="6"/>
      <c r="Q129" s="7"/>
      <c r="R129" s="3"/>
      <c r="S129" s="5"/>
      <c r="T129" s="5"/>
      <c r="U129" s="3"/>
      <c r="V129" s="3"/>
      <c r="W129" s="5"/>
    </row>
    <row r="130" spans="2:23" x14ac:dyDescent="0.35">
      <c r="B130" s="6" t="s">
        <v>143</v>
      </c>
      <c r="C130" s="7">
        <f t="shared" si="13"/>
        <v>-2003450.5636296037</v>
      </c>
      <c r="D130" s="3">
        <f t="shared" si="17"/>
        <v>1041583.6888370737</v>
      </c>
      <c r="E130" s="5">
        <f t="shared" si="18"/>
        <v>961866.87479252997</v>
      </c>
      <c r="F130" s="5">
        <f t="shared" si="19"/>
        <v>87949023.058356896</v>
      </c>
      <c r="G130" s="3">
        <f t="shared" si="20"/>
        <v>-133366.33489972414</v>
      </c>
      <c r="H130" s="3"/>
      <c r="I130" s="18"/>
      <c r="J130" s="10">
        <f t="shared" si="21"/>
        <v>-2136816.8985293279</v>
      </c>
      <c r="K130" s="5"/>
      <c r="P130" s="6"/>
      <c r="Q130" s="7"/>
      <c r="R130" s="3"/>
      <c r="S130" s="5"/>
      <c r="T130" s="5"/>
      <c r="U130" s="3"/>
      <c r="V130" s="3"/>
      <c r="W130" s="5"/>
    </row>
    <row r="131" spans="2:23" x14ac:dyDescent="0.35">
      <c r="B131" s="6" t="s">
        <v>144</v>
      </c>
      <c r="C131" s="7">
        <f t="shared" si="13"/>
        <v>-2003450.5636296037</v>
      </c>
      <c r="D131" s="3">
        <f t="shared" si="17"/>
        <v>1030315.4983109202</v>
      </c>
      <c r="E131" s="5">
        <f t="shared" si="18"/>
        <v>973135.06531868351</v>
      </c>
      <c r="F131" s="5">
        <f t="shared" si="19"/>
        <v>86975887.993038207</v>
      </c>
      <c r="G131" s="3">
        <f t="shared" si="20"/>
        <v>-131923.53458753534</v>
      </c>
      <c r="H131" s="3"/>
      <c r="I131" s="18"/>
      <c r="J131" s="10">
        <f t="shared" si="21"/>
        <v>-2135374.098217139</v>
      </c>
      <c r="K131" s="5"/>
      <c r="P131" s="6"/>
      <c r="Q131" s="7"/>
      <c r="R131" s="3"/>
      <c r="S131" s="5"/>
      <c r="T131" s="5"/>
      <c r="U131" s="3"/>
      <c r="V131" s="3"/>
      <c r="W131" s="5"/>
    </row>
    <row r="132" spans="2:23" x14ac:dyDescent="0.35">
      <c r="B132" s="6" t="s">
        <v>145</v>
      </c>
      <c r="C132" s="7">
        <f t="shared" si="13"/>
        <v>-2003450.5636296037</v>
      </c>
      <c r="D132" s="3">
        <f t="shared" si="17"/>
        <v>1018915.3018689157</v>
      </c>
      <c r="E132" s="5">
        <f t="shared" si="18"/>
        <v>984535.26176068804</v>
      </c>
      <c r="F132" s="5">
        <f t="shared" si="19"/>
        <v>85991352.731277525</v>
      </c>
      <c r="G132" s="3">
        <f t="shared" si="20"/>
        <v>-130463.83198955732</v>
      </c>
      <c r="H132" s="3"/>
      <c r="I132" s="18"/>
      <c r="J132" s="10">
        <f t="shared" si="21"/>
        <v>-2133914.395619161</v>
      </c>
      <c r="K132" s="5"/>
      <c r="P132" s="6"/>
      <c r="Q132" s="7"/>
      <c r="R132" s="3"/>
      <c r="S132" s="5"/>
      <c r="T132" s="5"/>
      <c r="U132" s="3"/>
      <c r="V132" s="3"/>
      <c r="W132" s="5"/>
    </row>
    <row r="133" spans="2:23" x14ac:dyDescent="0.35">
      <c r="B133" s="6" t="s">
        <v>146</v>
      </c>
      <c r="C133" s="7">
        <f t="shared" si="13"/>
        <v>-2003450.5636296037</v>
      </c>
      <c r="D133" s="3">
        <f t="shared" si="17"/>
        <v>1007381.5530727232</v>
      </c>
      <c r="E133" s="5">
        <f t="shared" si="18"/>
        <v>996069.0105568805</v>
      </c>
      <c r="F133" s="5">
        <f t="shared" si="19"/>
        <v>84995283.720720649</v>
      </c>
      <c r="G133" s="3">
        <f t="shared" si="20"/>
        <v>-128987.02909691629</v>
      </c>
      <c r="H133" s="3"/>
      <c r="I133" s="18"/>
      <c r="J133" s="10">
        <f t="shared" si="21"/>
        <v>-2132437.5927265198</v>
      </c>
      <c r="K133" s="5"/>
      <c r="P133" s="6"/>
      <c r="Q133" s="7"/>
      <c r="R133" s="3"/>
      <c r="S133" s="5"/>
      <c r="T133" s="5"/>
      <c r="U133" s="3"/>
      <c r="V133" s="3"/>
      <c r="W133" s="5"/>
    </row>
    <row r="134" spans="2:23" x14ac:dyDescent="0.35">
      <c r="B134" s="6" t="s">
        <v>147</v>
      </c>
      <c r="C134" s="7">
        <f t="shared" si="13"/>
        <v>-2003450.5636296037</v>
      </c>
      <c r="D134" s="3">
        <f t="shared" si="17"/>
        <v>995712.68736760889</v>
      </c>
      <c r="E134" s="5">
        <f t="shared" si="18"/>
        <v>1007737.8762619948</v>
      </c>
      <c r="F134" s="5">
        <f t="shared" si="19"/>
        <v>83987545.844458655</v>
      </c>
      <c r="G134" s="3">
        <f t="shared" si="20"/>
        <v>-127492.92558108097</v>
      </c>
      <c r="H134" s="3"/>
      <c r="I134" s="18"/>
      <c r="J134" s="10">
        <f t="shared" si="21"/>
        <v>-2130943.4892106848</v>
      </c>
      <c r="K134" s="5"/>
      <c r="P134" s="6"/>
      <c r="Q134" s="7"/>
      <c r="R134" s="3"/>
      <c r="S134" s="5"/>
      <c r="T134" s="5"/>
      <c r="U134" s="3"/>
      <c r="V134" s="3"/>
      <c r="W134" s="5"/>
    </row>
    <row r="135" spans="2:23" x14ac:dyDescent="0.35">
      <c r="B135" s="6" t="s">
        <v>148</v>
      </c>
      <c r="C135" s="7">
        <f t="shared" si="13"/>
        <v>-2003450.5636296037</v>
      </c>
      <c r="D135" s="3">
        <f t="shared" si="17"/>
        <v>983907.12187021016</v>
      </c>
      <c r="E135" s="5">
        <f t="shared" si="18"/>
        <v>1019543.4417593936</v>
      </c>
      <c r="F135" s="5">
        <f t="shared" si="19"/>
        <v>82968002.402699262</v>
      </c>
      <c r="G135" s="3">
        <f t="shared" si="20"/>
        <v>-125981.31876668798</v>
      </c>
      <c r="H135" s="3"/>
      <c r="I135" s="18"/>
      <c r="J135" s="10">
        <f t="shared" si="21"/>
        <v>-2129431.8823962915</v>
      </c>
      <c r="K135" s="5"/>
      <c r="P135" s="6"/>
      <c r="Q135" s="7"/>
      <c r="R135" s="3"/>
      <c r="S135" s="5"/>
      <c r="T135" s="5"/>
      <c r="U135" s="3"/>
      <c r="V135" s="3"/>
      <c r="W135" s="5"/>
    </row>
    <row r="136" spans="2:23" x14ac:dyDescent="0.35">
      <c r="B136" s="6" t="s">
        <v>149</v>
      </c>
      <c r="C136" s="7">
        <f t="shared" si="13"/>
        <v>-2003450.5636296037</v>
      </c>
      <c r="D136" s="3">
        <f t="shared" si="17"/>
        <v>971963.25515381747</v>
      </c>
      <c r="E136" s="5">
        <f t="shared" si="18"/>
        <v>1031487.3084757862</v>
      </c>
      <c r="F136" s="5">
        <f t="shared" si="19"/>
        <v>81936515.094223469</v>
      </c>
      <c r="G136" s="3">
        <f t="shared" si="20"/>
        <v>-124452.00360404888</v>
      </c>
      <c r="H136" s="3"/>
      <c r="I136" s="18"/>
      <c r="J136" s="10">
        <f t="shared" si="21"/>
        <v>-2127902.5672336528</v>
      </c>
      <c r="K136" s="5"/>
      <c r="P136" s="6"/>
      <c r="Q136" s="7"/>
      <c r="R136" s="3"/>
      <c r="S136" s="5"/>
      <c r="T136" s="5"/>
      <c r="U136" s="3"/>
      <c r="V136" s="3"/>
      <c r="W136" s="5"/>
    </row>
    <row r="137" spans="2:23" x14ac:dyDescent="0.35">
      <c r="B137" s="6" t="s">
        <v>150</v>
      </c>
      <c r="C137" s="7">
        <f t="shared" si="13"/>
        <v>-2003450.5636296037</v>
      </c>
      <c r="D137" s="3">
        <f t="shared" si="17"/>
        <v>959879.46703114035</v>
      </c>
      <c r="E137" s="5">
        <f t="shared" si="18"/>
        <v>1043571.0965984634</v>
      </c>
      <c r="F137" s="5">
        <f t="shared" si="19"/>
        <v>80892943.997625008</v>
      </c>
      <c r="G137" s="3">
        <f t="shared" si="20"/>
        <v>-122904.77264133521</v>
      </c>
      <c r="H137" s="3"/>
      <c r="I137" s="18"/>
      <c r="J137" s="10">
        <f t="shared" si="21"/>
        <v>-2126355.3362709391</v>
      </c>
      <c r="K137" s="5"/>
      <c r="P137" s="6"/>
      <c r="Q137" s="7"/>
      <c r="R137" s="3"/>
      <c r="S137" s="5"/>
      <c r="T137" s="5"/>
      <c r="U137" s="3"/>
      <c r="V137" s="3"/>
      <c r="W137" s="5"/>
    </row>
    <row r="138" spans="2:23" x14ac:dyDescent="0.35">
      <c r="B138" s="6" t="s">
        <v>151</v>
      </c>
      <c r="C138" s="7">
        <f t="shared" si="13"/>
        <v>-2003450.5636296037</v>
      </c>
      <c r="D138" s="3">
        <f t="shared" si="17"/>
        <v>947654.11833452911</v>
      </c>
      <c r="E138" s="5">
        <f t="shared" si="18"/>
        <v>1055796.4452950745</v>
      </c>
      <c r="F138" s="5">
        <f t="shared" si="19"/>
        <v>79837147.552329928</v>
      </c>
      <c r="G138" s="3">
        <f t="shared" si="20"/>
        <v>-121339.41599643751</v>
      </c>
      <c r="H138" s="3"/>
      <c r="I138" s="18"/>
      <c r="J138" s="10">
        <f t="shared" si="21"/>
        <v>-2124789.9796260414</v>
      </c>
      <c r="K138" s="5"/>
      <c r="P138" s="6"/>
      <c r="Q138" s="7"/>
      <c r="R138" s="3"/>
      <c r="S138" s="5"/>
      <c r="T138" s="5"/>
      <c r="U138" s="3"/>
      <c r="V138" s="3"/>
      <c r="W138" s="5"/>
    </row>
    <row r="139" spans="2:23" x14ac:dyDescent="0.35">
      <c r="B139" s="6" t="s">
        <v>152</v>
      </c>
      <c r="C139" s="7">
        <f t="shared" si="13"/>
        <v>-2003450.5636296037</v>
      </c>
      <c r="D139" s="3">
        <f t="shared" si="17"/>
        <v>935285.55069362069</v>
      </c>
      <c r="E139" s="5">
        <f t="shared" si="18"/>
        <v>1068165.012935983</v>
      </c>
      <c r="F139" s="5">
        <f t="shared" si="19"/>
        <v>78768982.539393947</v>
      </c>
      <c r="G139" s="3">
        <f t="shared" si="20"/>
        <v>-119755.72132849488</v>
      </c>
      <c r="H139" s="3"/>
      <c r="I139" s="18"/>
      <c r="J139" s="10">
        <f t="shared" si="21"/>
        <v>-2123206.2849580985</v>
      </c>
      <c r="K139" s="5"/>
      <c r="P139" s="6"/>
      <c r="Q139" s="7"/>
      <c r="R139" s="3"/>
      <c r="S139" s="5"/>
      <c r="T139" s="5"/>
      <c r="U139" s="3"/>
      <c r="V139" s="3"/>
      <c r="W139" s="5"/>
    </row>
    <row r="140" spans="2:23" x14ac:dyDescent="0.35">
      <c r="B140" s="6" t="s">
        <v>153</v>
      </c>
      <c r="C140" s="7">
        <f t="shared" si="13"/>
        <v>-2003450.5636296037</v>
      </c>
      <c r="D140" s="3">
        <f t="shared" si="17"/>
        <v>922772.08631038154</v>
      </c>
      <c r="E140" s="5">
        <f t="shared" si="18"/>
        <v>1080678.4773192222</v>
      </c>
      <c r="F140" s="5">
        <f t="shared" si="19"/>
        <v>77688304.062074721</v>
      </c>
      <c r="G140" s="3">
        <f t="shared" si="20"/>
        <v>-118153.47380909092</v>
      </c>
      <c r="H140" s="3"/>
      <c r="I140" s="18"/>
      <c r="J140" s="10">
        <f t="shared" si="21"/>
        <v>-2121604.0374386949</v>
      </c>
      <c r="K140" s="5"/>
      <c r="P140" s="6"/>
      <c r="Q140" s="7"/>
      <c r="R140" s="3"/>
      <c r="S140" s="5"/>
      <c r="T140" s="5"/>
      <c r="U140" s="3"/>
      <c r="V140" s="3"/>
      <c r="W140" s="5"/>
    </row>
    <row r="141" spans="2:23" x14ac:dyDescent="0.35">
      <c r="B141" s="6" t="s">
        <v>154</v>
      </c>
      <c r="C141" s="7">
        <f t="shared" si="13"/>
        <v>-2003450.5636296037</v>
      </c>
      <c r="D141" s="3">
        <f t="shared" si="17"/>
        <v>910112.02773151326</v>
      </c>
      <c r="E141" s="5">
        <f t="shared" si="18"/>
        <v>1093338.5358980903</v>
      </c>
      <c r="F141" s="5">
        <f t="shared" si="19"/>
        <v>76594965.526176631</v>
      </c>
      <c r="G141" s="3">
        <f t="shared" si="20"/>
        <v>-116532.45609311208</v>
      </c>
      <c r="H141" s="3"/>
      <c r="I141" s="18"/>
      <c r="J141" s="10">
        <f t="shared" si="21"/>
        <v>-2119983.019722716</v>
      </c>
      <c r="K141" s="5"/>
      <c r="P141" s="6"/>
      <c r="Q141" s="7"/>
      <c r="R141" s="3"/>
      <c r="S141" s="5"/>
      <c r="T141" s="5"/>
      <c r="U141" s="3"/>
      <c r="V141" s="3"/>
      <c r="W141" s="5"/>
    </row>
    <row r="142" spans="2:23" x14ac:dyDescent="0.35">
      <c r="B142" s="6" t="s">
        <v>155</v>
      </c>
      <c r="C142" s="7">
        <f t="shared" ref="C142:C192" si="22">+C141</f>
        <v>-2003450.5636296037</v>
      </c>
      <c r="D142" s="3">
        <f t="shared" si="17"/>
        <v>897303.65761819296</v>
      </c>
      <c r="E142" s="5">
        <f t="shared" si="18"/>
        <v>1106146.9060114108</v>
      </c>
      <c r="F142" s="5">
        <f t="shared" si="19"/>
        <v>75488818.620165214</v>
      </c>
      <c r="G142" s="3">
        <f t="shared" si="20"/>
        <v>-114892.44828926495</v>
      </c>
      <c r="H142" s="3"/>
      <c r="I142" s="18"/>
      <c r="J142" s="10">
        <f t="shared" si="21"/>
        <v>-2118343.0119188689</v>
      </c>
      <c r="K142" s="5"/>
      <c r="P142" s="6"/>
      <c r="Q142" s="7"/>
      <c r="R142" s="3"/>
      <c r="S142" s="5"/>
      <c r="T142" s="5"/>
      <c r="U142" s="3"/>
      <c r="V142" s="3"/>
      <c r="W142" s="5"/>
    </row>
    <row r="143" spans="2:23" x14ac:dyDescent="0.35">
      <c r="B143" s="6" t="s">
        <v>156</v>
      </c>
      <c r="C143" s="7">
        <f t="shared" si="22"/>
        <v>-2003450.5636296037</v>
      </c>
      <c r="D143" s="3">
        <f t="shared" si="17"/>
        <v>884345.23851311638</v>
      </c>
      <c r="E143" s="5">
        <f t="shared" si="18"/>
        <v>1119105.3251164872</v>
      </c>
      <c r="F143" s="5">
        <f t="shared" si="19"/>
        <v>74369713.295048729</v>
      </c>
      <c r="G143" s="3">
        <f t="shared" si="20"/>
        <v>-113233.22793024783</v>
      </c>
      <c r="H143" s="3"/>
      <c r="I143" s="18"/>
      <c r="J143" s="10">
        <f t="shared" si="21"/>
        <v>-2116683.7915598517</v>
      </c>
      <c r="K143" s="5"/>
      <c r="P143" s="6"/>
      <c r="Q143" s="7"/>
      <c r="R143" s="3"/>
      <c r="S143" s="5"/>
      <c r="T143" s="5"/>
      <c r="U143" s="3"/>
      <c r="V143" s="3"/>
      <c r="W143" s="5"/>
    </row>
    <row r="144" spans="2:23" x14ac:dyDescent="0.35">
      <c r="B144" s="6" t="s">
        <v>157</v>
      </c>
      <c r="C144" s="7">
        <f t="shared" si="22"/>
        <v>-2003450.5636296037</v>
      </c>
      <c r="D144" s="3">
        <f t="shared" si="17"/>
        <v>871235.01260481123</v>
      </c>
      <c r="E144" s="5">
        <f t="shared" si="18"/>
        <v>1132215.5510247925</v>
      </c>
      <c r="F144" s="5">
        <f t="shared" si="19"/>
        <v>73237497.744023934</v>
      </c>
      <c r="G144" s="3">
        <f t="shared" si="20"/>
        <v>-111554.56994257309</v>
      </c>
      <c r="H144" s="3"/>
      <c r="I144" s="18"/>
      <c r="J144" s="10">
        <f t="shared" si="21"/>
        <v>-2115005.133572177</v>
      </c>
      <c r="K144" s="5"/>
      <c r="P144" s="6"/>
      <c r="Q144" s="7"/>
      <c r="R144" s="3"/>
      <c r="S144" s="5"/>
      <c r="T144" s="5"/>
      <c r="U144" s="3"/>
      <c r="V144" s="3"/>
      <c r="W144" s="5"/>
    </row>
    <row r="145" spans="2:23" x14ac:dyDescent="0.35">
      <c r="B145" s="6" t="s">
        <v>158</v>
      </c>
      <c r="C145" s="7">
        <f t="shared" si="22"/>
        <v>-2003450.5636296037</v>
      </c>
      <c r="D145" s="3">
        <f t="shared" si="17"/>
        <v>857971.20148918976</v>
      </c>
      <c r="E145" s="5">
        <f t="shared" si="18"/>
        <v>1145479.3621404138</v>
      </c>
      <c r="F145" s="5">
        <f t="shared" si="19"/>
        <v>72092018.381883517</v>
      </c>
      <c r="G145" s="3">
        <f t="shared" si="20"/>
        <v>-109856.2466160359</v>
      </c>
      <c r="H145" s="3"/>
      <c r="I145" s="18"/>
      <c r="J145" s="10">
        <f t="shared" si="21"/>
        <v>-2113306.8102456396</v>
      </c>
      <c r="K145" s="5"/>
      <c r="P145" s="6"/>
      <c r="Q145" s="7"/>
      <c r="R145" s="3"/>
      <c r="S145" s="5"/>
      <c r="T145" s="5"/>
      <c r="U145" s="3"/>
      <c r="V145" s="3"/>
      <c r="W145" s="5"/>
    </row>
    <row r="146" spans="2:23" x14ac:dyDescent="0.35">
      <c r="B146" s="6" t="s">
        <v>159</v>
      </c>
      <c r="C146" s="7">
        <f t="shared" si="22"/>
        <v>-2003450.5636296037</v>
      </c>
      <c r="D146" s="3">
        <f t="shared" si="17"/>
        <v>844552.00592830812</v>
      </c>
      <c r="E146" s="5">
        <f t="shared" si="18"/>
        <v>1158898.5577012957</v>
      </c>
      <c r="F146" s="5">
        <f t="shared" si="19"/>
        <v>70933119.824182227</v>
      </c>
      <c r="G146" s="3">
        <f t="shared" si="20"/>
        <v>-108138.02757282527</v>
      </c>
      <c r="H146" s="3"/>
      <c r="I146" s="18"/>
      <c r="J146" s="10">
        <f t="shared" si="21"/>
        <v>-2111588.591202429</v>
      </c>
      <c r="K146" s="5"/>
      <c r="P146" s="6"/>
      <c r="Q146" s="7"/>
      <c r="R146" s="3"/>
      <c r="S146" s="5"/>
      <c r="T146" s="5"/>
      <c r="U146" s="3"/>
      <c r="V146" s="3"/>
      <c r="W146" s="5"/>
    </row>
    <row r="147" spans="2:23" x14ac:dyDescent="0.35">
      <c r="B147" s="6" t="s">
        <v>160</v>
      </c>
      <c r="C147" s="7">
        <f t="shared" si="22"/>
        <v>-2003450.5636296037</v>
      </c>
      <c r="D147" s="3">
        <f t="shared" si="17"/>
        <v>830975.60560629959</v>
      </c>
      <c r="E147" s="5">
        <f t="shared" si="18"/>
        <v>1172474.9580233041</v>
      </c>
      <c r="F147" s="5">
        <f t="shared" si="19"/>
        <v>69760644.866158918</v>
      </c>
      <c r="G147" s="3">
        <f t="shared" si="20"/>
        <v>-106399.67973627335</v>
      </c>
      <c r="H147" s="3"/>
      <c r="I147" s="18"/>
      <c r="J147" s="10">
        <f t="shared" si="21"/>
        <v>-2109850.2433658768</v>
      </c>
      <c r="K147" s="5"/>
      <c r="P147" s="6"/>
      <c r="Q147" s="7"/>
      <c r="R147" s="3"/>
      <c r="S147" s="5"/>
      <c r="T147" s="5"/>
      <c r="U147" s="3"/>
      <c r="V147" s="3"/>
      <c r="W147" s="5"/>
    </row>
    <row r="148" spans="2:23" x14ac:dyDescent="0.35">
      <c r="B148" s="6" t="s">
        <v>161</v>
      </c>
      <c r="C148" s="7">
        <f t="shared" si="22"/>
        <v>-2003450.5636296037</v>
      </c>
      <c r="D148" s="3">
        <f t="shared" si="17"/>
        <v>817240.15888244787</v>
      </c>
      <c r="E148" s="5">
        <f t="shared" si="18"/>
        <v>1186210.404747156</v>
      </c>
      <c r="F148" s="5">
        <f t="shared" si="19"/>
        <v>68574434.461411759</v>
      </c>
      <c r="G148" s="3">
        <f t="shared" si="20"/>
        <v>-104640.96729923837</v>
      </c>
      <c r="H148" s="3"/>
      <c r="I148" s="18"/>
      <c r="J148" s="10">
        <f t="shared" si="21"/>
        <v>-2108091.5309288423</v>
      </c>
      <c r="K148" s="5"/>
      <c r="P148" s="6"/>
      <c r="Q148" s="7"/>
      <c r="R148" s="3"/>
      <c r="S148" s="5"/>
      <c r="T148" s="5"/>
      <c r="U148" s="3"/>
      <c r="V148" s="3"/>
      <c r="W148" s="5"/>
    </row>
    <row r="149" spans="2:23" x14ac:dyDescent="0.35">
      <c r="B149" s="6" t="s">
        <v>162</v>
      </c>
      <c r="C149" s="7">
        <f t="shared" si="22"/>
        <v>-2003450.5636296037</v>
      </c>
      <c r="D149" s="3">
        <f t="shared" si="17"/>
        <v>803343.80254136934</v>
      </c>
      <c r="E149" s="5">
        <f t="shared" si="18"/>
        <v>1200106.7610882344</v>
      </c>
      <c r="F149" s="5">
        <f t="shared" si="19"/>
        <v>67374327.700323522</v>
      </c>
      <c r="G149" s="3">
        <f t="shared" si="20"/>
        <v>-102861.65169211764</v>
      </c>
      <c r="H149" s="3"/>
      <c r="I149" s="18"/>
      <c r="J149" s="10">
        <f t="shared" si="21"/>
        <v>-2106312.2153217215</v>
      </c>
      <c r="K149" s="5"/>
    </row>
    <row r="150" spans="2:23" x14ac:dyDescent="0.35">
      <c r="B150" s="6" t="s">
        <v>163</v>
      </c>
      <c r="C150" s="7">
        <f t="shared" si="22"/>
        <v>-2003450.5636296037</v>
      </c>
      <c r="D150" s="3">
        <f t="shared" si="17"/>
        <v>789284.65154026623</v>
      </c>
      <c r="E150" s="5">
        <f t="shared" si="18"/>
        <v>1214165.9120893376</v>
      </c>
      <c r="F150" s="5">
        <f t="shared" si="19"/>
        <v>66160161.788234182</v>
      </c>
      <c r="G150" s="3">
        <f t="shared" si="20"/>
        <v>-101061.49155048528</v>
      </c>
      <c r="H150" s="3"/>
      <c r="I150" s="18"/>
      <c r="J150" s="10">
        <f t="shared" si="21"/>
        <v>-2104512.0551800891</v>
      </c>
      <c r="K150" s="5"/>
    </row>
    <row r="151" spans="2:23" x14ac:dyDescent="0.35">
      <c r="B151" s="6" t="s">
        <v>164</v>
      </c>
      <c r="C151" s="7">
        <f t="shared" si="22"/>
        <v>-2003450.5636296037</v>
      </c>
      <c r="D151" s="3">
        <f t="shared" si="17"/>
        <v>775060.79875322164</v>
      </c>
      <c r="E151" s="5">
        <f t="shared" si="18"/>
        <v>1228389.764876382</v>
      </c>
      <c r="F151" s="5">
        <f t="shared" si="19"/>
        <v>64931772.023357801</v>
      </c>
      <c r="G151" s="3">
        <f t="shared" si="20"/>
        <v>-99240.242682351265</v>
      </c>
      <c r="H151" s="3"/>
      <c r="I151" s="18"/>
      <c r="J151" s="10">
        <f t="shared" si="21"/>
        <v>-2102690.8063119547</v>
      </c>
      <c r="K151" s="5"/>
    </row>
    <row r="152" spans="2:23" x14ac:dyDescent="0.35">
      <c r="B152" s="6" t="s">
        <v>165</v>
      </c>
      <c r="C152" s="7">
        <f t="shared" si="22"/>
        <v>-2003450.5636296037</v>
      </c>
      <c r="D152" s="3">
        <f t="shared" si="17"/>
        <v>760670.31471249659</v>
      </c>
      <c r="E152" s="5">
        <f t="shared" si="18"/>
        <v>1242780.248917107</v>
      </c>
      <c r="F152" s="5">
        <f t="shared" si="19"/>
        <v>63688991.774440691</v>
      </c>
      <c r="G152" s="3">
        <f t="shared" si="20"/>
        <v>-97397.658035036686</v>
      </c>
      <c r="H152" s="3"/>
      <c r="I152" s="18"/>
      <c r="J152" s="10">
        <f t="shared" si="21"/>
        <v>-2100848.2216646406</v>
      </c>
      <c r="K152" s="5"/>
    </row>
    <row r="153" spans="2:23" x14ac:dyDescent="0.35">
      <c r="B153" s="6" t="s">
        <v>166</v>
      </c>
      <c r="C153" s="7">
        <f t="shared" si="22"/>
        <v>-2003450.5636296037</v>
      </c>
      <c r="D153" s="3">
        <f t="shared" si="17"/>
        <v>746111.24734679796</v>
      </c>
      <c r="E153" s="5">
        <f t="shared" si="18"/>
        <v>1257339.3162828058</v>
      </c>
      <c r="F153" s="5">
        <f t="shared" si="19"/>
        <v>62431652.458157882</v>
      </c>
      <c r="G153" s="3">
        <f t="shared" si="20"/>
        <v>-95533.487661661042</v>
      </c>
      <c r="H153" s="3"/>
      <c r="I153" s="18"/>
      <c r="J153" s="10">
        <f t="shared" si="21"/>
        <v>-2098984.0512912646</v>
      </c>
      <c r="K153" s="5"/>
    </row>
    <row r="154" spans="2:23" x14ac:dyDescent="0.35">
      <c r="B154" s="6" t="s">
        <v>167</v>
      </c>
      <c r="C154" s="7">
        <f t="shared" si="22"/>
        <v>-2003450.5636296037</v>
      </c>
      <c r="D154" s="3">
        <f t="shared" si="17"/>
        <v>731381.62171647965</v>
      </c>
      <c r="E154" s="5">
        <f t="shared" si="18"/>
        <v>1272068.9419131242</v>
      </c>
      <c r="F154" s="5">
        <f t="shared" si="19"/>
        <v>61159583.516244754</v>
      </c>
      <c r="G154" s="3">
        <f t="shared" si="20"/>
        <v>-93647.478687236828</v>
      </c>
      <c r="H154" s="3"/>
      <c r="I154" s="18"/>
      <c r="J154" s="10">
        <f t="shared" si="21"/>
        <v>-2097098.0423168405</v>
      </c>
      <c r="K154" s="5"/>
    </row>
    <row r="155" spans="2:23" x14ac:dyDescent="0.35">
      <c r="B155" s="6" t="s">
        <v>168</v>
      </c>
      <c r="C155" s="7">
        <f t="shared" si="22"/>
        <v>-2003450.5636296037</v>
      </c>
      <c r="D155" s="3">
        <f t="shared" si="17"/>
        <v>716479.43974564155</v>
      </c>
      <c r="E155" s="5">
        <f t="shared" si="18"/>
        <v>1286971.1238839622</v>
      </c>
      <c r="F155" s="5">
        <f t="shared" si="19"/>
        <v>59872612.392360792</v>
      </c>
      <c r="G155" s="3">
        <f t="shared" si="20"/>
        <v>-91739.375274367121</v>
      </c>
      <c r="H155" s="3"/>
      <c r="I155" s="18"/>
      <c r="J155" s="10">
        <f t="shared" si="21"/>
        <v>-2095189.9389039709</v>
      </c>
      <c r="K155" s="5"/>
    </row>
    <row r="156" spans="2:23" x14ac:dyDescent="0.35">
      <c r="B156" s="6" t="s">
        <v>169</v>
      </c>
      <c r="C156" s="7">
        <f t="shared" si="22"/>
        <v>-2003450.5636296037</v>
      </c>
      <c r="D156" s="3">
        <f t="shared" si="17"/>
        <v>701402.6799510906</v>
      </c>
      <c r="E156" s="5">
        <f t="shared" si="18"/>
        <v>1302047.8836785131</v>
      </c>
      <c r="F156" s="5">
        <f t="shared" si="19"/>
        <v>58570564.508682281</v>
      </c>
      <c r="G156" s="3">
        <f t="shared" si="20"/>
        <v>-89808.918588541186</v>
      </c>
      <c r="H156" s="3"/>
      <c r="I156" s="18"/>
      <c r="J156" s="10">
        <f t="shared" si="21"/>
        <v>-2093259.4822181449</v>
      </c>
      <c r="K156" s="5"/>
    </row>
    <row r="157" spans="2:23" x14ac:dyDescent="0.35">
      <c r="B157" s="6" t="s">
        <v>170</v>
      </c>
      <c r="C157" s="7">
        <f t="shared" si="22"/>
        <v>-2003450.5636296037</v>
      </c>
      <c r="D157" s="3">
        <f t="shared" si="17"/>
        <v>686149.29716812586</v>
      </c>
      <c r="E157" s="5">
        <f t="shared" si="18"/>
        <v>1317301.2664614778</v>
      </c>
      <c r="F157" s="5">
        <f t="shared" si="19"/>
        <v>57253263.242220804</v>
      </c>
      <c r="G157" s="3">
        <f t="shared" si="20"/>
        <v>-87855.846763023423</v>
      </c>
      <c r="H157" s="3"/>
      <c r="I157" s="18"/>
      <c r="J157" s="10">
        <f t="shared" si="21"/>
        <v>-2091306.4103926271</v>
      </c>
      <c r="K157" s="5"/>
    </row>
    <row r="158" spans="2:23" x14ac:dyDescent="0.35">
      <c r="B158" s="6" t="s">
        <v>171</v>
      </c>
      <c r="C158" s="7">
        <f t="shared" si="22"/>
        <v>-2003450.5636296037</v>
      </c>
      <c r="D158" s="3">
        <f t="shared" si="17"/>
        <v>670717.22227311204</v>
      </c>
      <c r="E158" s="5">
        <f t="shared" si="18"/>
        <v>1332733.3413564917</v>
      </c>
      <c r="F158" s="5">
        <f t="shared" si="19"/>
        <v>55920529.900864311</v>
      </c>
      <c r="G158" s="3">
        <f t="shared" si="20"/>
        <v>-85879.89486333121</v>
      </c>
      <c r="H158" s="3"/>
      <c r="I158" s="18"/>
      <c r="J158" s="10">
        <f t="shared" si="21"/>
        <v>-2089330.4584929349</v>
      </c>
      <c r="K158" s="5"/>
    </row>
    <row r="159" spans="2:23" x14ac:dyDescent="0.35">
      <c r="B159" s="6" t="s">
        <v>172</v>
      </c>
      <c r="C159" s="7">
        <f t="shared" si="22"/>
        <v>-2003450.5636296037</v>
      </c>
      <c r="D159" s="3">
        <f t="shared" si="17"/>
        <v>655104.36190280213</v>
      </c>
      <c r="E159" s="5">
        <f t="shared" si="18"/>
        <v>1348346.2017268017</v>
      </c>
      <c r="F159" s="5">
        <f t="shared" si="19"/>
        <v>54572183.699137509</v>
      </c>
      <c r="G159" s="3">
        <f t="shared" si="20"/>
        <v>-83880.794851296465</v>
      </c>
      <c r="H159" s="3"/>
      <c r="I159" s="18"/>
      <c r="J159" s="10">
        <f t="shared" si="21"/>
        <v>-2087331.3584809001</v>
      </c>
      <c r="K159" s="5"/>
    </row>
    <row r="160" spans="2:23" x14ac:dyDescent="0.35">
      <c r="B160" s="6" t="s">
        <v>173</v>
      </c>
      <c r="C160" s="7">
        <f t="shared" si="22"/>
        <v>-2003450.5636296037</v>
      </c>
      <c r="D160" s="3">
        <f t="shared" si="17"/>
        <v>639308.59817037277</v>
      </c>
      <c r="E160" s="5">
        <f t="shared" si="18"/>
        <v>1364141.9654592308</v>
      </c>
      <c r="F160" s="5">
        <f t="shared" si="19"/>
        <v>53208041.733678281</v>
      </c>
      <c r="G160" s="3">
        <f t="shared" si="20"/>
        <v>-81858.275548706268</v>
      </c>
      <c r="H160" s="3"/>
      <c r="I160" s="18"/>
      <c r="J160" s="10">
        <f t="shared" si="21"/>
        <v>-2085308.83917831</v>
      </c>
      <c r="K160" s="5"/>
    </row>
    <row r="161" spans="2:11" x14ac:dyDescent="0.35">
      <c r="B161" s="6" t="s">
        <v>174</v>
      </c>
      <c r="C161" s="7">
        <f t="shared" si="22"/>
        <v>-2003450.5636296037</v>
      </c>
      <c r="D161" s="3">
        <f t="shared" ref="D161:D188" si="23">+F160*$B$7</f>
        <v>623327.78837813251</v>
      </c>
      <c r="E161" s="5">
        <f t="shared" ref="E161:E188" si="24">+-C161-D161</f>
        <v>1380122.7752514712</v>
      </c>
      <c r="F161" s="5">
        <f t="shared" ref="F161:F188" si="25">+F160-E161</f>
        <v>51827918.958426811</v>
      </c>
      <c r="G161" s="3">
        <f t="shared" ref="G161:G188" si="26">+-F160/1000000*$B$8</f>
        <v>-79812.062600517413</v>
      </c>
      <c r="H161" s="3"/>
      <c r="I161" s="18"/>
      <c r="J161" s="10">
        <f t="shared" ref="J161:J188" si="27">+C161+G161</f>
        <v>-2083262.6262301211</v>
      </c>
      <c r="K161" s="5"/>
    </row>
    <row r="162" spans="2:11" x14ac:dyDescent="0.35">
      <c r="B162" s="6" t="s">
        <v>175</v>
      </c>
      <c r="C162" s="7">
        <f t="shared" si="22"/>
        <v>-2003450.5636296037</v>
      </c>
      <c r="D162" s="3">
        <f t="shared" si="23"/>
        <v>607159.76472686406</v>
      </c>
      <c r="E162" s="5">
        <f t="shared" si="24"/>
        <v>1396290.7989027398</v>
      </c>
      <c r="F162" s="5">
        <f t="shared" si="25"/>
        <v>50431628.159524068</v>
      </c>
      <c r="G162" s="3">
        <f t="shared" si="26"/>
        <v>-77741.878437640218</v>
      </c>
      <c r="H162" s="3"/>
      <c r="I162" s="18"/>
      <c r="J162" s="10">
        <f t="shared" si="27"/>
        <v>-2081192.4420672439</v>
      </c>
      <c r="K162" s="5"/>
    </row>
    <row r="163" spans="2:11" x14ac:dyDescent="0.35">
      <c r="B163" s="6" t="s">
        <v>176</v>
      </c>
      <c r="C163" s="7">
        <f t="shared" si="22"/>
        <v>-2003450.5636296037</v>
      </c>
      <c r="D163" s="3">
        <f t="shared" si="23"/>
        <v>590802.33402176271</v>
      </c>
      <c r="E163" s="5">
        <f t="shared" si="24"/>
        <v>1412648.229607841</v>
      </c>
      <c r="F163" s="5">
        <f t="shared" si="25"/>
        <v>49018979.929916225</v>
      </c>
      <c r="G163" s="3">
        <f t="shared" si="26"/>
        <v>-75647.442239286102</v>
      </c>
      <c r="H163" s="3"/>
      <c r="I163" s="18"/>
      <c r="J163" s="10">
        <f t="shared" si="27"/>
        <v>-2079098.0058688899</v>
      </c>
      <c r="K163" s="5"/>
    </row>
    <row r="164" spans="2:11" x14ac:dyDescent="0.35">
      <c r="B164" s="6" t="s">
        <v>177</v>
      </c>
      <c r="C164" s="7">
        <f t="shared" si="22"/>
        <v>-2003450.5636296037</v>
      </c>
      <c r="D164" s="3">
        <f t="shared" si="23"/>
        <v>574253.27737492882</v>
      </c>
      <c r="E164" s="5">
        <f t="shared" si="24"/>
        <v>1429197.2862546749</v>
      </c>
      <c r="F164" s="5">
        <f t="shared" si="25"/>
        <v>47589782.643661551</v>
      </c>
      <c r="G164" s="3">
        <f t="shared" si="26"/>
        <v>-73528.469894874346</v>
      </c>
      <c r="H164" s="3"/>
      <c r="I164" s="18"/>
      <c r="J164" s="10">
        <f t="shared" si="27"/>
        <v>-2076979.0335244781</v>
      </c>
      <c r="K164" s="5"/>
    </row>
    <row r="165" spans="2:11" x14ac:dyDescent="0.35">
      <c r="B165" s="6" t="s">
        <v>178</v>
      </c>
      <c r="C165" s="7">
        <f t="shared" si="22"/>
        <v>-2003450.5636296037</v>
      </c>
      <c r="D165" s="3">
        <f t="shared" si="23"/>
        <v>557510.34990437538</v>
      </c>
      <c r="E165" s="5">
        <f t="shared" si="24"/>
        <v>1445940.2137252283</v>
      </c>
      <c r="F165" s="5">
        <f t="shared" si="25"/>
        <v>46143842.42993632</v>
      </c>
      <c r="G165" s="3">
        <f t="shared" si="26"/>
        <v>-71384.673965492329</v>
      </c>
      <c r="H165" s="3"/>
      <c r="I165" s="18"/>
      <c r="J165" s="10">
        <f t="shared" si="27"/>
        <v>-2074835.237595096</v>
      </c>
      <c r="K165" s="5"/>
    </row>
    <row r="166" spans="2:11" x14ac:dyDescent="0.35">
      <c r="B166" s="6" t="s">
        <v>179</v>
      </c>
      <c r="C166" s="7">
        <f t="shared" si="22"/>
        <v>-2003450.5636296037</v>
      </c>
      <c r="D166" s="3">
        <f t="shared" si="23"/>
        <v>540571.28042950924</v>
      </c>
      <c r="E166" s="5">
        <f t="shared" si="24"/>
        <v>1462879.2832000945</v>
      </c>
      <c r="F166" s="5">
        <f t="shared" si="25"/>
        <v>44680963.146736227</v>
      </c>
      <c r="G166" s="3">
        <f t="shared" si="26"/>
        <v>-69215.76364490448</v>
      </c>
      <c r="H166" s="3"/>
      <c r="I166" s="18"/>
      <c r="J166" s="10">
        <f t="shared" si="27"/>
        <v>-2072666.3272745083</v>
      </c>
      <c r="K166" s="5"/>
    </row>
    <row r="167" spans="2:11" x14ac:dyDescent="0.35">
      <c r="B167" s="6" t="s">
        <v>180</v>
      </c>
      <c r="C167" s="7">
        <f t="shared" si="22"/>
        <v>-2003450.5636296037</v>
      </c>
      <c r="D167" s="3">
        <f t="shared" si="23"/>
        <v>523433.77116304555</v>
      </c>
      <c r="E167" s="5">
        <f t="shared" si="24"/>
        <v>1480016.7924665581</v>
      </c>
      <c r="F167" s="5">
        <f t="shared" si="25"/>
        <v>43200946.354269668</v>
      </c>
      <c r="G167" s="3">
        <f t="shared" si="26"/>
        <v>-67021.444720104337</v>
      </c>
      <c r="H167" s="3"/>
      <c r="I167" s="18"/>
      <c r="J167" s="10">
        <f t="shared" si="27"/>
        <v>-2070472.008349708</v>
      </c>
      <c r="K167" s="5"/>
    </row>
    <row r="168" spans="2:11" x14ac:dyDescent="0.35">
      <c r="B168" s="6" t="s">
        <v>181</v>
      </c>
      <c r="C168" s="7">
        <f t="shared" si="22"/>
        <v>-2003450.5636296037</v>
      </c>
      <c r="D168" s="3">
        <f t="shared" si="23"/>
        <v>506095.49739931192</v>
      </c>
      <c r="E168" s="5">
        <f t="shared" si="24"/>
        <v>1497355.0662302917</v>
      </c>
      <c r="F168" s="5">
        <f t="shared" si="25"/>
        <v>41703591.288039379</v>
      </c>
      <c r="G168" s="3">
        <f t="shared" si="26"/>
        <v>-64801.419531404499</v>
      </c>
      <c r="H168" s="3"/>
      <c r="I168" s="18"/>
      <c r="J168" s="10">
        <f t="shared" si="27"/>
        <v>-2068251.9831610082</v>
      </c>
      <c r="K168" s="5"/>
    </row>
    <row r="169" spans="2:11" x14ac:dyDescent="0.35">
      <c r="B169" s="6" t="s">
        <v>182</v>
      </c>
      <c r="C169" s="7">
        <f t="shared" si="22"/>
        <v>-2003450.5636296037</v>
      </c>
      <c r="D169" s="3">
        <f t="shared" si="23"/>
        <v>488554.10719890252</v>
      </c>
      <c r="E169" s="5">
        <f t="shared" si="24"/>
        <v>1514896.4564307011</v>
      </c>
      <c r="F169" s="5">
        <f t="shared" si="25"/>
        <v>40188694.831608675</v>
      </c>
      <c r="G169" s="3">
        <f t="shared" si="26"/>
        <v>-62555.386932059067</v>
      </c>
      <c r="H169" s="3"/>
      <c r="I169" s="18"/>
      <c r="J169" s="10">
        <f t="shared" si="27"/>
        <v>-2066005.9505616627</v>
      </c>
      <c r="K169" s="5"/>
    </row>
    <row r="170" spans="2:11" x14ac:dyDescent="0.35">
      <c r="B170" s="6" t="s">
        <v>183</v>
      </c>
      <c r="C170" s="7">
        <f t="shared" si="22"/>
        <v>-2003450.5636296037</v>
      </c>
      <c r="D170" s="3">
        <f t="shared" si="23"/>
        <v>470807.22106963652</v>
      </c>
      <c r="E170" s="5">
        <f t="shared" si="24"/>
        <v>1532643.3425599672</v>
      </c>
      <c r="F170" s="5">
        <f t="shared" si="25"/>
        <v>38656051.489048705</v>
      </c>
      <c r="G170" s="3">
        <f t="shared" si="26"/>
        <v>-60283.042247413017</v>
      </c>
      <c r="H170" s="3"/>
      <c r="I170" s="18"/>
      <c r="J170" s="10">
        <f t="shared" si="27"/>
        <v>-2063733.6058770167</v>
      </c>
      <c r="K170" s="5"/>
    </row>
    <row r="171" spans="2:11" x14ac:dyDescent="0.35">
      <c r="B171" s="6" t="s">
        <v>184</v>
      </c>
      <c r="C171" s="7">
        <f t="shared" si="22"/>
        <v>-2003450.5636296037</v>
      </c>
      <c r="D171" s="3">
        <f t="shared" si="23"/>
        <v>452852.43164378009</v>
      </c>
      <c r="E171" s="5">
        <f t="shared" si="24"/>
        <v>1550598.1319858236</v>
      </c>
      <c r="F171" s="5">
        <f t="shared" si="25"/>
        <v>37105453.357062884</v>
      </c>
      <c r="G171" s="3">
        <f t="shared" si="26"/>
        <v>-57984.077233573058</v>
      </c>
      <c r="H171" s="3"/>
      <c r="I171" s="18"/>
      <c r="J171" s="10">
        <f t="shared" si="27"/>
        <v>-2061434.6408631767</v>
      </c>
      <c r="K171" s="5"/>
    </row>
    <row r="172" spans="2:11" x14ac:dyDescent="0.35">
      <c r="B172" s="6" t="s">
        <v>185</v>
      </c>
      <c r="C172" s="7">
        <f t="shared" si="22"/>
        <v>-2003450.5636296037</v>
      </c>
      <c r="D172" s="3">
        <f t="shared" si="23"/>
        <v>434687.30335148639</v>
      </c>
      <c r="E172" s="5">
        <f t="shared" si="24"/>
        <v>1568763.2602781174</v>
      </c>
      <c r="F172" s="5">
        <f t="shared" si="25"/>
        <v>35536690.096784763</v>
      </c>
      <c r="G172" s="3">
        <f t="shared" si="26"/>
        <v>-55658.180035594327</v>
      </c>
      <c r="H172" s="3"/>
      <c r="I172" s="18"/>
      <c r="J172" s="10">
        <f t="shared" si="27"/>
        <v>-2059108.7436651981</v>
      </c>
      <c r="K172" s="5"/>
    </row>
    <row r="173" spans="2:11" x14ac:dyDescent="0.35">
      <c r="B173" s="6" t="s">
        <v>186</v>
      </c>
      <c r="C173" s="7">
        <f t="shared" si="22"/>
        <v>-2003450.5636296037</v>
      </c>
      <c r="D173" s="3">
        <f t="shared" si="23"/>
        <v>416309.37209040986</v>
      </c>
      <c r="E173" s="5">
        <f t="shared" si="24"/>
        <v>1587141.191539194</v>
      </c>
      <c r="F173" s="5">
        <f t="shared" si="25"/>
        <v>33949548.905245572</v>
      </c>
      <c r="G173" s="3">
        <f t="shared" si="26"/>
        <v>-53305.035145177142</v>
      </c>
      <c r="H173" s="3"/>
      <c r="I173" s="18"/>
      <c r="J173" s="10">
        <f t="shared" si="27"/>
        <v>-2056755.5987747808</v>
      </c>
      <c r="K173" s="5"/>
    </row>
    <row r="174" spans="2:11" x14ac:dyDescent="0.35">
      <c r="B174" s="6" t="s">
        <v>187</v>
      </c>
      <c r="C174" s="7">
        <f t="shared" si="22"/>
        <v>-2003450.5636296037</v>
      </c>
      <c r="D174" s="3">
        <f t="shared" si="23"/>
        <v>397716.14489145117</v>
      </c>
      <c r="E174" s="5">
        <f t="shared" si="24"/>
        <v>1605734.4187381526</v>
      </c>
      <c r="F174" s="5">
        <f t="shared" si="25"/>
        <v>32343814.486507419</v>
      </c>
      <c r="G174" s="3">
        <f t="shared" si="26"/>
        <v>-50924.323357868358</v>
      </c>
      <c r="H174" s="3"/>
      <c r="I174" s="18"/>
      <c r="J174" s="10">
        <f t="shared" si="27"/>
        <v>-2054374.886987472</v>
      </c>
      <c r="K174" s="5"/>
    </row>
    <row r="175" spans="2:11" x14ac:dyDescent="0.35">
      <c r="B175" s="6" t="s">
        <v>188</v>
      </c>
      <c r="C175" s="7">
        <f t="shared" si="22"/>
        <v>-2003450.5636296037</v>
      </c>
      <c r="D175" s="3">
        <f t="shared" si="23"/>
        <v>378905.09958058462</v>
      </c>
      <c r="E175" s="5">
        <f t="shared" si="24"/>
        <v>1624545.4640490192</v>
      </c>
      <c r="F175" s="5">
        <f t="shared" si="25"/>
        <v>30719269.022458401</v>
      </c>
      <c r="G175" s="3">
        <f t="shared" si="26"/>
        <v>-48515.721729761128</v>
      </c>
      <c r="H175" s="3"/>
      <c r="I175" s="18"/>
      <c r="J175" s="10">
        <f t="shared" si="27"/>
        <v>-2051966.2853593649</v>
      </c>
      <c r="K175" s="5"/>
    </row>
    <row r="176" spans="2:11" x14ac:dyDescent="0.35">
      <c r="B176" s="6" t="s">
        <v>189</v>
      </c>
      <c r="C176" s="7">
        <f t="shared" si="22"/>
        <v>-2003450.5636296037</v>
      </c>
      <c r="D176" s="3">
        <f t="shared" si="23"/>
        <v>359873.68443672569</v>
      </c>
      <c r="E176" s="5">
        <f t="shared" si="24"/>
        <v>1643576.879192878</v>
      </c>
      <c r="F176" s="5">
        <f t="shared" si="25"/>
        <v>29075692.143265523</v>
      </c>
      <c r="G176" s="3">
        <f t="shared" si="26"/>
        <v>-46078.903533687604</v>
      </c>
      <c r="H176" s="3"/>
      <c r="I176" s="18"/>
      <c r="J176" s="10">
        <f t="shared" si="27"/>
        <v>-2049529.4671632913</v>
      </c>
      <c r="K176" s="5"/>
    </row>
    <row r="177" spans="2:11" x14ac:dyDescent="0.35">
      <c r="B177" s="6" t="s">
        <v>190</v>
      </c>
      <c r="C177" s="7">
        <f t="shared" si="22"/>
        <v>-2003450.5636296037</v>
      </c>
      <c r="D177" s="3">
        <f t="shared" si="23"/>
        <v>340619.31784558925</v>
      </c>
      <c r="E177" s="5">
        <f t="shared" si="24"/>
        <v>1662831.2457840145</v>
      </c>
      <c r="F177" s="5">
        <f t="shared" si="25"/>
        <v>27412860.897481509</v>
      </c>
      <c r="G177" s="3">
        <f t="shared" si="26"/>
        <v>-43613.538214898283</v>
      </c>
      <c r="H177" s="3"/>
      <c r="I177" s="18"/>
      <c r="J177" s="10">
        <f t="shared" si="27"/>
        <v>-2047064.1018445019</v>
      </c>
      <c r="K177" s="5"/>
    </row>
    <row r="178" spans="2:11" x14ac:dyDescent="0.35">
      <c r="B178" s="6" t="s">
        <v>191</v>
      </c>
      <c r="C178" s="7">
        <f t="shared" si="22"/>
        <v>-2003450.5636296037</v>
      </c>
      <c r="D178" s="3">
        <f t="shared" si="23"/>
        <v>321139.38794949325</v>
      </c>
      <c r="E178" s="5">
        <f t="shared" si="24"/>
        <v>1682311.1756801105</v>
      </c>
      <c r="F178" s="5">
        <f t="shared" si="25"/>
        <v>25730549.721801396</v>
      </c>
      <c r="G178" s="3">
        <f t="shared" si="26"/>
        <v>-41119.291346222264</v>
      </c>
      <c r="H178" s="3"/>
      <c r="I178" s="18"/>
      <c r="J178" s="10">
        <f t="shared" si="27"/>
        <v>-2044569.8549758259</v>
      </c>
      <c r="K178" s="5"/>
    </row>
    <row r="179" spans="2:11" x14ac:dyDescent="0.35">
      <c r="B179" s="6" t="s">
        <v>192</v>
      </c>
      <c r="C179" s="7">
        <f t="shared" si="22"/>
        <v>-2003450.5636296037</v>
      </c>
      <c r="D179" s="3">
        <f t="shared" si="23"/>
        <v>301431.25229305984</v>
      </c>
      <c r="E179" s="5">
        <f t="shared" si="24"/>
        <v>1702019.3113365439</v>
      </c>
      <c r="F179" s="5">
        <f t="shared" si="25"/>
        <v>24028530.410464853</v>
      </c>
      <c r="G179" s="3">
        <f t="shared" si="26"/>
        <v>-38595.824582702095</v>
      </c>
      <c r="H179" s="3"/>
      <c r="I179" s="18"/>
      <c r="J179" s="10">
        <f t="shared" si="27"/>
        <v>-2042046.3882123057</v>
      </c>
      <c r="K179" s="5"/>
    </row>
    <row r="180" spans="2:11" x14ac:dyDescent="0.35">
      <c r="B180" s="6" t="s">
        <v>193</v>
      </c>
      <c r="C180" s="7">
        <f t="shared" si="22"/>
        <v>-2003450.5636296037</v>
      </c>
      <c r="D180" s="3">
        <f t="shared" si="23"/>
        <v>281492.23746476619</v>
      </c>
      <c r="E180" s="5">
        <f t="shared" si="24"/>
        <v>1721958.3261648375</v>
      </c>
      <c r="F180" s="5">
        <f t="shared" si="25"/>
        <v>22306572.084300015</v>
      </c>
      <c r="G180" s="3">
        <f t="shared" si="26"/>
        <v>-36042.79561569728</v>
      </c>
      <c r="H180" s="3"/>
      <c r="I180" s="18"/>
      <c r="J180" s="10">
        <f t="shared" si="27"/>
        <v>-2039493.359245301</v>
      </c>
      <c r="K180" s="5"/>
    </row>
    <row r="181" spans="2:11" x14ac:dyDescent="0.35">
      <c r="B181" s="6" t="s">
        <v>194</v>
      </c>
      <c r="C181" s="7">
        <f t="shared" si="22"/>
        <v>-2003450.5636296037</v>
      </c>
      <c r="D181" s="3">
        <f t="shared" si="23"/>
        <v>261319.63873429532</v>
      </c>
      <c r="E181" s="5">
        <f t="shared" si="24"/>
        <v>1742130.9248953084</v>
      </c>
      <c r="F181" s="5">
        <f t="shared" si="25"/>
        <v>20564441.159404706</v>
      </c>
      <c r="G181" s="3">
        <f t="shared" si="26"/>
        <v>-33459.858126450024</v>
      </c>
      <c r="H181" s="3"/>
      <c r="I181" s="18"/>
      <c r="J181" s="10">
        <f t="shared" si="27"/>
        <v>-2036910.4217560538</v>
      </c>
      <c r="K181" s="5"/>
    </row>
    <row r="182" spans="2:11" x14ac:dyDescent="0.35">
      <c r="B182" s="6" t="s">
        <v>195</v>
      </c>
      <c r="C182" s="7">
        <f t="shared" si="22"/>
        <v>-2003450.5636296037</v>
      </c>
      <c r="D182" s="3">
        <f t="shared" si="23"/>
        <v>240910.71968563946</v>
      </c>
      <c r="E182" s="5">
        <f t="shared" si="24"/>
        <v>1762539.8439439642</v>
      </c>
      <c r="F182" s="5">
        <f t="shared" si="25"/>
        <v>18801901.315460742</v>
      </c>
      <c r="G182" s="3">
        <f t="shared" si="26"/>
        <v>-30846.661739107058</v>
      </c>
      <c r="H182" s="3"/>
      <c r="I182" s="18"/>
      <c r="J182" s="10">
        <f t="shared" si="27"/>
        <v>-2034297.2253687107</v>
      </c>
      <c r="K182" s="5"/>
    </row>
    <row r="183" spans="2:11" x14ac:dyDescent="0.35">
      <c r="B183" s="6" t="s">
        <v>196</v>
      </c>
      <c r="C183" s="7">
        <f t="shared" si="22"/>
        <v>-2003450.5636296037</v>
      </c>
      <c r="D183" s="3">
        <f t="shared" si="23"/>
        <v>220262.71184590456</v>
      </c>
      <c r="E183" s="5">
        <f t="shared" si="24"/>
        <v>1783187.8517836991</v>
      </c>
      <c r="F183" s="5">
        <f t="shared" si="25"/>
        <v>17018713.463677041</v>
      </c>
      <c r="G183" s="3">
        <f t="shared" si="26"/>
        <v>-28202.851973191115</v>
      </c>
      <c r="H183" s="3"/>
      <c r="I183" s="18"/>
      <c r="J183" s="10">
        <f t="shared" si="27"/>
        <v>-2031653.4156027948</v>
      </c>
      <c r="K183" s="5"/>
    </row>
    <row r="184" spans="2:11" x14ac:dyDescent="0.35">
      <c r="B184" s="6" t="s">
        <v>197</v>
      </c>
      <c r="C184" s="7">
        <f t="shared" si="22"/>
        <v>-2003450.5636296037</v>
      </c>
      <c r="D184" s="3">
        <f t="shared" si="23"/>
        <v>199372.81430976669</v>
      </c>
      <c r="E184" s="5">
        <f t="shared" si="24"/>
        <v>1804077.749319837</v>
      </c>
      <c r="F184" s="5">
        <f t="shared" si="25"/>
        <v>15214635.714357205</v>
      </c>
      <c r="G184" s="3">
        <f t="shared" si="26"/>
        <v>-25528.070195515564</v>
      </c>
      <c r="H184" s="3"/>
      <c r="I184" s="18"/>
      <c r="J184" s="10">
        <f t="shared" si="27"/>
        <v>-2028978.6338251194</v>
      </c>
      <c r="K184" s="5"/>
    </row>
    <row r="185" spans="2:11" x14ac:dyDescent="0.35">
      <c r="B185" s="6" t="s">
        <v>198</v>
      </c>
      <c r="C185" s="7">
        <f t="shared" si="22"/>
        <v>-2003450.5636296037</v>
      </c>
      <c r="D185" s="3">
        <f t="shared" si="23"/>
        <v>178238.19335952873</v>
      </c>
      <c r="E185" s="5">
        <f t="shared" si="24"/>
        <v>1825212.370270075</v>
      </c>
      <c r="F185" s="5">
        <f t="shared" si="25"/>
        <v>13389423.344087129</v>
      </c>
      <c r="G185" s="3">
        <f t="shared" si="26"/>
        <v>-22821.953571535807</v>
      </c>
      <c r="H185" s="3"/>
      <c r="I185" s="18"/>
      <c r="J185" s="10">
        <f t="shared" si="27"/>
        <v>-2026272.5172011396</v>
      </c>
      <c r="K185" s="5"/>
    </row>
    <row r="186" spans="2:11" x14ac:dyDescent="0.35">
      <c r="B186" s="6" t="s">
        <v>199</v>
      </c>
      <c r="C186" s="7">
        <f t="shared" si="22"/>
        <v>-2003450.5636296037</v>
      </c>
      <c r="D186" s="3">
        <f t="shared" si="23"/>
        <v>156855.98208072613</v>
      </c>
      <c r="E186" s="5">
        <f t="shared" si="24"/>
        <v>1846594.5815488775</v>
      </c>
      <c r="F186" s="5">
        <f t="shared" si="25"/>
        <v>11542828.762538252</v>
      </c>
      <c r="G186" s="3">
        <f t="shared" si="26"/>
        <v>-20084.135016130695</v>
      </c>
      <c r="H186" s="3"/>
      <c r="I186" s="18"/>
      <c r="J186" s="10">
        <f t="shared" si="27"/>
        <v>-2023534.6986457345</v>
      </c>
      <c r="K186" s="5"/>
    </row>
    <row r="187" spans="2:11" x14ac:dyDescent="0.35">
      <c r="B187" s="6" t="s">
        <v>200</v>
      </c>
      <c r="C187" s="7">
        <f t="shared" si="22"/>
        <v>-2003450.5636296037</v>
      </c>
      <c r="D187" s="3">
        <f t="shared" si="23"/>
        <v>135223.27997322963</v>
      </c>
      <c r="E187" s="5">
        <f t="shared" si="24"/>
        <v>1868227.2836563741</v>
      </c>
      <c r="F187" s="5">
        <f t="shared" si="25"/>
        <v>9674601.4788818788</v>
      </c>
      <c r="G187" s="3">
        <f t="shared" si="26"/>
        <v>-17314.24314380738</v>
      </c>
      <c r="H187" s="3"/>
      <c r="I187" s="18"/>
      <c r="J187" s="10">
        <f t="shared" si="27"/>
        <v>-2020764.8067734111</v>
      </c>
      <c r="K187" s="5"/>
    </row>
    <row r="188" spans="2:11" x14ac:dyDescent="0.35">
      <c r="B188" s="6" t="s">
        <v>201</v>
      </c>
      <c r="C188" s="7">
        <f t="shared" si="22"/>
        <v>-2003450.5636296037</v>
      </c>
      <c r="D188" s="3">
        <f t="shared" si="23"/>
        <v>113337.15255779185</v>
      </c>
      <c r="E188" s="5">
        <f t="shared" si="24"/>
        <v>1890113.4110718118</v>
      </c>
      <c r="F188" s="5">
        <f t="shared" si="25"/>
        <v>7784488.067810067</v>
      </c>
      <c r="G188" s="3">
        <f t="shared" si="26"/>
        <v>-14511.902218322819</v>
      </c>
      <c r="H188" s="3"/>
      <c r="I188" s="18"/>
      <c r="J188" s="10">
        <f t="shared" si="27"/>
        <v>-2017962.4658479264</v>
      </c>
      <c r="K188" s="5"/>
    </row>
    <row r="189" spans="2:11" x14ac:dyDescent="0.35">
      <c r="B189" s="6" t="s">
        <v>202</v>
      </c>
      <c r="C189" s="7">
        <f t="shared" si="22"/>
        <v>-2003450.5636296037</v>
      </c>
      <c r="D189" s="3">
        <f t="shared" ref="D189:D191" si="28">+F188*$B$7</f>
        <v>91194.630977984896</v>
      </c>
      <c r="E189" s="5">
        <f t="shared" ref="E189:E191" si="29">+-C189-D189</f>
        <v>1912255.9326516187</v>
      </c>
      <c r="F189" s="5">
        <f t="shared" ref="F189:F191" si="30">+F188-E189</f>
        <v>5872232.1351584485</v>
      </c>
      <c r="G189" s="3">
        <f t="shared" ref="G189:G191" si="31">+-F188/1000000*$B$8</f>
        <v>-11676.732101715101</v>
      </c>
      <c r="H189" s="3"/>
      <c r="I189" s="18"/>
      <c r="J189" s="10">
        <f t="shared" ref="J189:J191" si="32">+C189+G189</f>
        <v>-2015127.2957313189</v>
      </c>
      <c r="K189" s="5"/>
    </row>
    <row r="190" spans="2:11" x14ac:dyDescent="0.35">
      <c r="B190" s="6" t="s">
        <v>203</v>
      </c>
      <c r="C190" s="7">
        <f t="shared" si="22"/>
        <v>-2003450.5636296037</v>
      </c>
      <c r="D190" s="3">
        <f t="shared" si="28"/>
        <v>68792.711597474452</v>
      </c>
      <c r="E190" s="5">
        <f t="shared" si="29"/>
        <v>1934657.8520321292</v>
      </c>
      <c r="F190" s="5">
        <f t="shared" si="30"/>
        <v>3937574.2831263193</v>
      </c>
      <c r="G190" s="3">
        <f t="shared" si="31"/>
        <v>-8808.3482027376722</v>
      </c>
      <c r="H190" s="3"/>
      <c r="I190" s="18"/>
      <c r="J190" s="10">
        <f t="shared" si="32"/>
        <v>-2012258.9118323415</v>
      </c>
      <c r="K190" s="5"/>
    </row>
    <row r="191" spans="2:11" x14ac:dyDescent="0.35">
      <c r="B191" s="6" t="s">
        <v>204</v>
      </c>
      <c r="C191" s="7">
        <f t="shared" si="22"/>
        <v>-2003450.5636296037</v>
      </c>
      <c r="D191" s="3">
        <f t="shared" si="28"/>
        <v>46128.355592576059</v>
      </c>
      <c r="E191" s="5">
        <f t="shared" si="29"/>
        <v>1957322.2080370276</v>
      </c>
      <c r="F191" s="5">
        <f t="shared" si="30"/>
        <v>1980252.0750892917</v>
      </c>
      <c r="G191" s="3">
        <f t="shared" si="31"/>
        <v>-5906.3614246894795</v>
      </c>
      <c r="H191" s="3"/>
      <c r="I191" s="18"/>
      <c r="J191" s="10">
        <f t="shared" si="32"/>
        <v>-2009356.9250542931</v>
      </c>
      <c r="K191" s="5"/>
    </row>
    <row r="192" spans="2:11" x14ac:dyDescent="0.35">
      <c r="B192" s="6" t="s">
        <v>205</v>
      </c>
      <c r="C192" s="7">
        <f t="shared" si="22"/>
        <v>-2003450.5636296037</v>
      </c>
      <c r="D192" s="3">
        <f t="shared" ref="D192" si="33">+F191*$B$7</f>
        <v>23198.48854003831</v>
      </c>
      <c r="E192" s="5">
        <f t="shared" ref="E192" si="34">+-C192-D192</f>
        <v>1980252.0750895655</v>
      </c>
      <c r="F192" s="5">
        <f t="shared" ref="F192" si="35">+F191-E192</f>
        <v>-2.7380883693695068E-7</v>
      </c>
      <c r="G192" s="3">
        <f t="shared" ref="G192" si="36">+-F191/1000000*$B$8</f>
        <v>-2970.3781126339372</v>
      </c>
      <c r="H192" s="3"/>
      <c r="I192" s="18"/>
      <c r="J192" s="10">
        <f>+C192+G192</f>
        <v>-2006420.9417422377</v>
      </c>
    </row>
    <row r="193" spans="2:10" x14ac:dyDescent="0.35">
      <c r="B193" s="6"/>
      <c r="C193" s="7"/>
      <c r="D193" s="3"/>
      <c r="E193" s="5"/>
      <c r="F193" s="5"/>
      <c r="G193" s="3"/>
      <c r="H193" s="3"/>
      <c r="I193" s="18"/>
      <c r="J193" s="1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2:AU67"/>
  <sheetViews>
    <sheetView showGridLines="0" topLeftCell="U1" zoomScale="80" zoomScaleNormal="80" workbookViewId="0">
      <selection activeCell="H14" sqref="H14"/>
    </sheetView>
  </sheetViews>
  <sheetFormatPr baseColWidth="10" defaultRowHeight="14.5" x14ac:dyDescent="0.35"/>
  <cols>
    <col min="1" max="1" width="16.1796875" bestFit="1" customWidth="1"/>
    <col min="2" max="2" width="14.1796875" bestFit="1" customWidth="1"/>
    <col min="3" max="29" width="14.1796875" customWidth="1"/>
    <col min="30" max="30" width="15.54296875" bestFit="1" customWidth="1"/>
    <col min="32" max="32" width="12" bestFit="1" customWidth="1"/>
    <col min="33" max="33" width="12.81640625" bestFit="1" customWidth="1"/>
    <col min="35" max="35" width="1.1796875" style="14" customWidth="1"/>
    <col min="36" max="36" width="12" bestFit="1" customWidth="1"/>
    <col min="37" max="37" width="13.1796875" bestFit="1" customWidth="1"/>
    <col min="38" max="38" width="12.1796875" bestFit="1" customWidth="1"/>
    <col min="39" max="39" width="14.1796875" bestFit="1" customWidth="1"/>
    <col min="40" max="40" width="9.54296875" bestFit="1" customWidth="1"/>
    <col min="41" max="41" width="13" bestFit="1" customWidth="1"/>
  </cols>
  <sheetData>
    <row r="2" spans="1:46" x14ac:dyDescent="0.35">
      <c r="A2" s="12" t="s">
        <v>0</v>
      </c>
      <c r="AL2" s="5"/>
    </row>
    <row r="3" spans="1:46" s="14" customFormat="1" x14ac:dyDescent="0.35">
      <c r="A3" s="16"/>
      <c r="AK3" s="20"/>
      <c r="AL3" s="20"/>
    </row>
    <row r="4" spans="1:46" s="14" customFormat="1" x14ac:dyDescent="0.35">
      <c r="A4" t="s">
        <v>100</v>
      </c>
      <c r="B4" s="3">
        <v>737717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K4" s="20"/>
      <c r="AL4" s="20"/>
    </row>
    <row r="5" spans="1:46" s="14" customFormat="1" x14ac:dyDescent="0.35">
      <c r="A5" t="s">
        <v>101</v>
      </c>
      <c r="B5" s="3">
        <f>+B4*2</f>
        <v>1475434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K5" s="20"/>
      <c r="AL5" s="20"/>
    </row>
    <row r="6" spans="1:46" s="14" customFormat="1" x14ac:dyDescent="0.35">
      <c r="A6" s="16"/>
      <c r="AK6" s="20"/>
      <c r="AL6" s="20"/>
    </row>
    <row r="7" spans="1:46" s="14" customFormat="1" x14ac:dyDescent="0.35">
      <c r="A7" s="16"/>
      <c r="AK7" s="20"/>
      <c r="AL7" s="20"/>
    </row>
    <row r="8" spans="1:46" s="14" customFormat="1" x14ac:dyDescent="0.35">
      <c r="A8" s="16"/>
      <c r="AK8" s="5"/>
      <c r="AL8" s="20"/>
    </row>
    <row r="9" spans="1:46" x14ac:dyDescent="0.3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E9" s="3"/>
      <c r="AF9" s="3"/>
      <c r="AK9" s="5"/>
    </row>
    <row r="10" spans="1:46" x14ac:dyDescent="0.3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J10" s="3"/>
      <c r="AK10" s="5"/>
      <c r="AO10" s="4"/>
      <c r="AQ10" s="2"/>
      <c r="AT10" s="3"/>
    </row>
    <row r="11" spans="1:46" x14ac:dyDescent="0.35">
      <c r="B11" s="5"/>
      <c r="C11" s="5"/>
      <c r="D11" s="21" t="s">
        <v>6</v>
      </c>
      <c r="E11" s="21" t="s">
        <v>7</v>
      </c>
      <c r="F11" s="21" t="s">
        <v>8</v>
      </c>
      <c r="G11" s="21" t="s">
        <v>9</v>
      </c>
      <c r="H11" s="21" t="s">
        <v>10</v>
      </c>
      <c r="I11" s="21" t="s">
        <v>11</v>
      </c>
      <c r="J11" s="21" t="s">
        <v>12</v>
      </c>
      <c r="K11" s="21" t="s">
        <v>13</v>
      </c>
      <c r="L11" s="21" t="s">
        <v>14</v>
      </c>
      <c r="M11" s="21" t="s">
        <v>15</v>
      </c>
      <c r="N11" s="21" t="s">
        <v>16</v>
      </c>
      <c r="O11" s="21" t="s">
        <v>17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19"/>
      <c r="AJ11" s="2">
        <f>+IRR(AJ19:AJ31)</f>
        <v>3.3774539543645066E-2</v>
      </c>
      <c r="AK11" s="5"/>
    </row>
    <row r="12" spans="1:46" x14ac:dyDescent="0.35">
      <c r="A12" t="s">
        <v>93</v>
      </c>
      <c r="B12" s="2">
        <v>0.02</v>
      </c>
      <c r="C12" s="2"/>
      <c r="D12" s="2">
        <f>+B12</f>
        <v>0.02</v>
      </c>
      <c r="E12" s="2">
        <f>+D12</f>
        <v>0.02</v>
      </c>
      <c r="F12" s="2">
        <f t="shared" ref="F12:O12" si="0">+E12</f>
        <v>0.02</v>
      </c>
      <c r="G12" s="2">
        <f t="shared" si="0"/>
        <v>0.02</v>
      </c>
      <c r="H12" s="2">
        <f t="shared" si="0"/>
        <v>0.02</v>
      </c>
      <c r="I12" s="2">
        <f t="shared" si="0"/>
        <v>0.02</v>
      </c>
      <c r="J12" s="2">
        <f t="shared" si="0"/>
        <v>0.02</v>
      </c>
      <c r="K12" s="2">
        <f t="shared" si="0"/>
        <v>0.02</v>
      </c>
      <c r="L12" s="2">
        <f t="shared" si="0"/>
        <v>0.02</v>
      </c>
      <c r="M12" s="2">
        <f t="shared" si="0"/>
        <v>0.02</v>
      </c>
      <c r="N12" s="2">
        <f t="shared" si="0"/>
        <v>0.02</v>
      </c>
      <c r="O12" s="2">
        <f t="shared" si="0"/>
        <v>0.02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H12" s="1" t="s">
        <v>97</v>
      </c>
      <c r="AI12" s="15"/>
      <c r="AJ12" s="11">
        <f>+IRR(AJ19:AJ31)</f>
        <v>3.3774539543645066E-2</v>
      </c>
      <c r="AK12" s="2"/>
      <c r="AL12" s="2"/>
    </row>
    <row r="13" spans="1:46" x14ac:dyDescent="0.3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H13" s="12" t="s">
        <v>98</v>
      </c>
      <c r="AI13" s="16"/>
      <c r="AJ13" s="13">
        <f>+(1+AJ12)^(12)-1</f>
        <v>0.48973829765102406</v>
      </c>
      <c r="AK13" s="5"/>
      <c r="AL13" s="13"/>
    </row>
    <row r="14" spans="1:46" x14ac:dyDescent="0.35">
      <c r="A14" t="s">
        <v>107</v>
      </c>
      <c r="B14">
        <v>59900</v>
      </c>
      <c r="E14" s="24">
        <f>+E20-D20</f>
        <v>-122952.83333333326</v>
      </c>
      <c r="F14" s="24">
        <f t="shared" ref="F14:P14" si="1">+F20-E20</f>
        <v>-122952.83333333326</v>
      </c>
      <c r="G14" s="24">
        <f t="shared" si="1"/>
        <v>-122952.83333333326</v>
      </c>
      <c r="H14" s="24">
        <f t="shared" si="1"/>
        <v>-122952.83333333337</v>
      </c>
      <c r="I14" s="24">
        <f t="shared" si="1"/>
        <v>-122952.83333333337</v>
      </c>
      <c r="J14" s="24">
        <f t="shared" si="1"/>
        <v>-122952.83333333337</v>
      </c>
      <c r="K14" s="24">
        <f t="shared" si="1"/>
        <v>-122952.83333333337</v>
      </c>
      <c r="L14" s="24">
        <f t="shared" si="1"/>
        <v>-122952.83333333331</v>
      </c>
      <c r="M14" s="24">
        <f t="shared" si="1"/>
        <v>-122952.83333333331</v>
      </c>
      <c r="N14" s="24">
        <f t="shared" si="1"/>
        <v>-122952.83333333331</v>
      </c>
      <c r="O14" s="24">
        <f t="shared" si="1"/>
        <v>-122952.83333333333</v>
      </c>
      <c r="P14" s="24">
        <f t="shared" si="1"/>
        <v>-122952.83333333333</v>
      </c>
      <c r="AD14" t="s">
        <v>94</v>
      </c>
    </row>
    <row r="15" spans="1:46" x14ac:dyDescent="0.3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46" x14ac:dyDescent="0.35">
      <c r="D16" s="109" t="s">
        <v>102</v>
      </c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t="s">
        <v>103</v>
      </c>
      <c r="AD16" s="9" t="s">
        <v>2</v>
      </c>
      <c r="AE16" s="9" t="s">
        <v>3</v>
      </c>
      <c r="AF16" s="9" t="s">
        <v>4</v>
      </c>
      <c r="AG16" s="9" t="s">
        <v>5</v>
      </c>
      <c r="AH16" s="9" t="s">
        <v>107</v>
      </c>
      <c r="AI16" s="17"/>
      <c r="AJ16" s="9" t="s">
        <v>96</v>
      </c>
    </row>
    <row r="17" spans="2:47" s="14" customFormat="1" ht="3" customHeight="1" x14ac:dyDescent="0.35"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D17" s="17"/>
      <c r="AE17" s="17"/>
      <c r="AF17" s="17"/>
      <c r="AG17" s="17"/>
      <c r="AH17" s="17"/>
      <c r="AI17" s="17"/>
      <c r="AJ17" s="17"/>
    </row>
    <row r="18" spans="2:47" x14ac:dyDescent="0.35">
      <c r="B18" s="26" t="s">
        <v>106</v>
      </c>
      <c r="C18" s="26"/>
      <c r="D18" s="21" t="s">
        <v>104</v>
      </c>
      <c r="E18" s="21" t="s">
        <v>6</v>
      </c>
      <c r="F18" s="21" t="s">
        <v>7</v>
      </c>
      <c r="G18" s="21" t="s">
        <v>8</v>
      </c>
      <c r="H18" s="21" t="s">
        <v>9</v>
      </c>
      <c r="I18" s="21" t="s">
        <v>10</v>
      </c>
      <c r="J18" s="21" t="s">
        <v>11</v>
      </c>
      <c r="K18" s="21" t="s">
        <v>12</v>
      </c>
      <c r="L18" s="21" t="s">
        <v>13</v>
      </c>
      <c r="M18" s="21" t="s">
        <v>14</v>
      </c>
      <c r="N18" s="21" t="s">
        <v>15</v>
      </c>
      <c r="O18" s="21" t="s">
        <v>16</v>
      </c>
      <c r="P18" s="21" t="s">
        <v>17</v>
      </c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6"/>
      <c r="AB18" s="6"/>
      <c r="AC18" s="6"/>
      <c r="AG18" s="5"/>
      <c r="AR18" s="5"/>
    </row>
    <row r="19" spans="2:47" x14ac:dyDescent="0.35">
      <c r="D19" s="25">
        <f>+SUM(D20:D32)</f>
        <v>1475434</v>
      </c>
      <c r="E19" s="25">
        <f t="shared" ref="E19:N19" si="2">+SUM(E20:E31)</f>
        <v>1475434</v>
      </c>
      <c r="F19" s="25">
        <f t="shared" si="2"/>
        <v>1475434</v>
      </c>
      <c r="G19" s="25">
        <f t="shared" si="2"/>
        <v>1475434</v>
      </c>
      <c r="H19" s="25">
        <f t="shared" si="2"/>
        <v>1475434</v>
      </c>
      <c r="I19" s="25">
        <f t="shared" si="2"/>
        <v>1475434</v>
      </c>
      <c r="J19" s="25">
        <f t="shared" si="2"/>
        <v>1475434</v>
      </c>
      <c r="K19" s="25">
        <f t="shared" si="2"/>
        <v>1475434</v>
      </c>
      <c r="L19" s="25">
        <f t="shared" si="2"/>
        <v>1475434</v>
      </c>
      <c r="M19" s="25">
        <f t="shared" si="2"/>
        <v>1475434</v>
      </c>
      <c r="N19" s="25">
        <f t="shared" si="2"/>
        <v>1475434</v>
      </c>
      <c r="O19" s="25">
        <f>+SUM(O20:O31)</f>
        <v>1475434</v>
      </c>
      <c r="P19" s="25">
        <f>+SUM(P20:P32)</f>
        <v>1475434</v>
      </c>
      <c r="AA19" s="8">
        <v>12</v>
      </c>
      <c r="AB19" s="3">
        <f>+AG19</f>
        <v>1475434</v>
      </c>
      <c r="AD19" s="7">
        <v>0</v>
      </c>
      <c r="AE19" s="3"/>
      <c r="AF19" s="5"/>
      <c r="AG19" s="5">
        <f t="array" ref="AG19:AG31">+TRANSPOSE(D19:P19)</f>
        <v>1475434</v>
      </c>
      <c r="AH19" s="3"/>
      <c r="AI19" s="18"/>
      <c r="AJ19" s="3">
        <f>+AG19</f>
        <v>1475434</v>
      </c>
      <c r="AM19" s="5"/>
      <c r="AO19" s="7"/>
      <c r="AP19" s="3"/>
      <c r="AQ19" s="5"/>
      <c r="AR19" s="5"/>
      <c r="AS19" s="3"/>
      <c r="AT19" s="3"/>
      <c r="AU19" s="5"/>
    </row>
    <row r="20" spans="2:47" x14ac:dyDescent="0.35">
      <c r="B20" s="6" t="s">
        <v>104</v>
      </c>
      <c r="C20" s="6"/>
      <c r="D20" s="8">
        <f>+B5</f>
        <v>1475434</v>
      </c>
      <c r="E20" s="3">
        <f t="shared" ref="E20:P20" si="3">+D20-$D$20/12</f>
        <v>1352481.1666666667</v>
      </c>
      <c r="F20" s="3">
        <f t="shared" si="3"/>
        <v>1229528.3333333335</v>
      </c>
      <c r="G20" s="3">
        <f t="shared" si="3"/>
        <v>1106575.5000000002</v>
      </c>
      <c r="H20" s="3">
        <f t="shared" si="3"/>
        <v>983622.66666666686</v>
      </c>
      <c r="I20" s="3">
        <f t="shared" si="3"/>
        <v>860669.83333333349</v>
      </c>
      <c r="J20" s="3">
        <f t="shared" si="3"/>
        <v>737717.00000000012</v>
      </c>
      <c r="K20" s="3">
        <f t="shared" si="3"/>
        <v>614764.16666666674</v>
      </c>
      <c r="L20" s="3">
        <f t="shared" si="3"/>
        <v>491811.33333333343</v>
      </c>
      <c r="M20" s="3">
        <f t="shared" si="3"/>
        <v>368858.50000000012</v>
      </c>
      <c r="N20" s="3">
        <f t="shared" si="3"/>
        <v>245905.6666666668</v>
      </c>
      <c r="O20" s="3">
        <f t="shared" si="3"/>
        <v>122952.83333333347</v>
      </c>
      <c r="P20" s="3">
        <f t="shared" si="3"/>
        <v>1.4551915228366852E-10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6"/>
      <c r="AB20" s="5">
        <f>-AF20-AE20</f>
        <v>-152461.51333333325</v>
      </c>
      <c r="AC20" s="6" t="s">
        <v>6</v>
      </c>
      <c r="AD20" s="31">
        <f>+-AF20-AE20+AF20</f>
        <v>-29508.679999999993</v>
      </c>
      <c r="AE20" s="3">
        <f t="array" ref="AE20:AE31">+TRANSPOSE(E53:P53)</f>
        <v>29508.68</v>
      </c>
      <c r="AF20" s="5">
        <f t="array" ref="AF20:AF31">+-TRANSPOSE(E35:P35)</f>
        <v>122952.83333333326</v>
      </c>
      <c r="AG20" s="5">
        <v>1475434</v>
      </c>
      <c r="AH20" s="3">
        <v>-59000</v>
      </c>
      <c r="AI20" s="18"/>
      <c r="AJ20" s="10">
        <f>+AD20+AH20</f>
        <v>-88508.68</v>
      </c>
      <c r="AK20" s="30">
        <f>+AE20/AG19</f>
        <v>0.02</v>
      </c>
      <c r="AM20" s="3"/>
      <c r="AO20" s="7"/>
      <c r="AP20" s="3"/>
      <c r="AQ20" s="5"/>
      <c r="AR20" s="5"/>
      <c r="AS20" s="3"/>
      <c r="AT20" s="3"/>
      <c r="AU20" s="5"/>
    </row>
    <row r="21" spans="2:47" x14ac:dyDescent="0.35">
      <c r="B21" s="6" t="s">
        <v>6</v>
      </c>
      <c r="C21" s="6"/>
      <c r="D21" s="6"/>
      <c r="E21" s="3">
        <f>+D20-E20</f>
        <v>122952.83333333326</v>
      </c>
      <c r="F21" s="3">
        <f>+E21-$E$21/12</f>
        <v>112706.76388888882</v>
      </c>
      <c r="G21" s="3">
        <f t="shared" ref="G21:Q21" si="4">+F21-$E$21/12</f>
        <v>102460.69444444438</v>
      </c>
      <c r="H21" s="3">
        <f t="shared" si="4"/>
        <v>92214.624999999942</v>
      </c>
      <c r="I21" s="3">
        <f t="shared" si="4"/>
        <v>81968.555555555504</v>
      </c>
      <c r="J21" s="3">
        <f t="shared" si="4"/>
        <v>71722.486111111066</v>
      </c>
      <c r="K21" s="3">
        <f t="shared" si="4"/>
        <v>61476.416666666628</v>
      </c>
      <c r="L21" s="3">
        <f t="shared" si="4"/>
        <v>51230.34722222219</v>
      </c>
      <c r="M21" s="3">
        <f t="shared" si="4"/>
        <v>40984.277777777752</v>
      </c>
      <c r="N21" s="3">
        <f t="shared" si="4"/>
        <v>30738.208333333314</v>
      </c>
      <c r="O21" s="3">
        <f t="shared" si="4"/>
        <v>20492.138888888876</v>
      </c>
      <c r="P21" s="3">
        <f t="shared" si="4"/>
        <v>10246.069444444438</v>
      </c>
      <c r="Q21" s="3">
        <f t="shared" si="4"/>
        <v>0</v>
      </c>
      <c r="R21" s="3"/>
      <c r="S21" s="3"/>
      <c r="T21" s="3"/>
      <c r="U21" s="3"/>
      <c r="V21" s="3"/>
      <c r="W21" s="3"/>
      <c r="X21" s="3"/>
      <c r="Y21" s="3"/>
      <c r="Z21" s="3"/>
      <c r="AA21" s="6"/>
      <c r="AB21" s="5">
        <f t="shared" ref="AB21:AB31" si="5">-AF21-AE21</f>
        <v>-162707.58277777769</v>
      </c>
      <c r="AC21" s="6" t="s">
        <v>7</v>
      </c>
      <c r="AD21" s="31">
        <f>+-AF21-AE21+AF21</f>
        <v>-29508.679999999993</v>
      </c>
      <c r="AE21" s="3">
        <v>29508.68</v>
      </c>
      <c r="AF21" s="5">
        <v>133198.90277777769</v>
      </c>
      <c r="AG21" s="5">
        <v>1475434</v>
      </c>
      <c r="AH21" s="3"/>
      <c r="AI21" s="18"/>
      <c r="AJ21" s="10">
        <f t="shared" ref="AJ21:AJ31" si="6">+AD21+AH21</f>
        <v>-29508.679999999993</v>
      </c>
      <c r="AK21" s="30">
        <f t="shared" ref="AK21:AK30" si="7">+AE21/AG20</f>
        <v>0.02</v>
      </c>
      <c r="AO21" s="7"/>
      <c r="AP21" s="3"/>
      <c r="AQ21" s="5"/>
      <c r="AR21" s="5"/>
      <c r="AS21" s="3"/>
      <c r="AT21" s="3"/>
      <c r="AU21" s="5"/>
    </row>
    <row r="22" spans="2:47" x14ac:dyDescent="0.35">
      <c r="B22" s="6" t="s">
        <v>7</v>
      </c>
      <c r="C22" s="6"/>
      <c r="D22" s="6"/>
      <c r="E22" s="6"/>
      <c r="F22" s="5">
        <f>+SUM(E20:E21)-SUM(F20:F21)</f>
        <v>133198.90277777775</v>
      </c>
      <c r="G22" s="3">
        <f>+F22-$F$22/12</f>
        <v>122098.99421296293</v>
      </c>
      <c r="H22" s="3">
        <f t="shared" ref="H22:R22" si="8">+G22-$F$22/12</f>
        <v>110999.08564814812</v>
      </c>
      <c r="I22" s="3">
        <f t="shared" si="8"/>
        <v>99899.177083333299</v>
      </c>
      <c r="J22" s="3">
        <f t="shared" si="8"/>
        <v>88799.268518518482</v>
      </c>
      <c r="K22" s="3">
        <f t="shared" si="8"/>
        <v>77699.359953703664</v>
      </c>
      <c r="L22" s="3">
        <f t="shared" si="8"/>
        <v>66599.451388888847</v>
      </c>
      <c r="M22" s="3">
        <f t="shared" si="8"/>
        <v>55499.542824074037</v>
      </c>
      <c r="N22" s="3">
        <f t="shared" si="8"/>
        <v>44399.634259259226</v>
      </c>
      <c r="O22" s="3">
        <f t="shared" si="8"/>
        <v>33299.725694444416</v>
      </c>
      <c r="P22" s="3">
        <f t="shared" si="8"/>
        <v>22199.817129629606</v>
      </c>
      <c r="Q22" s="3">
        <f t="shared" si="8"/>
        <v>11099.908564814794</v>
      </c>
      <c r="R22" s="3">
        <f t="shared" si="8"/>
        <v>-1.8189894035458565E-11</v>
      </c>
      <c r="S22" s="3"/>
      <c r="T22" s="3"/>
      <c r="U22" s="3"/>
      <c r="V22" s="3"/>
      <c r="W22" s="3"/>
      <c r="X22" s="3"/>
      <c r="Y22" s="3"/>
      <c r="Z22" s="3"/>
      <c r="AA22" s="6"/>
      <c r="AB22" s="5">
        <f t="shared" si="5"/>
        <v>-173807.49134259252</v>
      </c>
      <c r="AC22" s="6" t="s">
        <v>8</v>
      </c>
      <c r="AD22" s="31">
        <f t="shared" ref="AD22:AD30" si="9">+-AF22-AE22+AF22</f>
        <v>-29508.679999999993</v>
      </c>
      <c r="AE22" s="3">
        <v>29508.68</v>
      </c>
      <c r="AF22" s="5">
        <v>144298.81134259253</v>
      </c>
      <c r="AG22" s="5">
        <v>1475434</v>
      </c>
      <c r="AH22" s="3"/>
      <c r="AI22" s="18"/>
      <c r="AJ22" s="10">
        <f t="shared" si="6"/>
        <v>-29508.679999999993</v>
      </c>
      <c r="AK22" s="30">
        <f t="shared" si="7"/>
        <v>0.02</v>
      </c>
      <c r="AO22" s="7"/>
      <c r="AP22" s="3"/>
      <c r="AQ22" s="5"/>
      <c r="AR22" s="5"/>
      <c r="AS22" s="3"/>
      <c r="AT22" s="3"/>
      <c r="AU22" s="5"/>
    </row>
    <row r="23" spans="2:47" x14ac:dyDescent="0.35">
      <c r="B23" s="6" t="s">
        <v>8</v>
      </c>
      <c r="C23" s="6"/>
      <c r="D23" s="6"/>
      <c r="E23" s="6"/>
      <c r="F23" s="6"/>
      <c r="G23" s="5">
        <f>+SUM(F20:F22)-SUM(G20:G22)</f>
        <v>144298.81134259258</v>
      </c>
      <c r="H23" s="3">
        <f>+G23-$G$23/12</f>
        <v>132273.91039737655</v>
      </c>
      <c r="I23" s="3">
        <f t="shared" ref="I23:S23" si="10">+H23-$G$23/12</f>
        <v>120249.00945216049</v>
      </c>
      <c r="J23" s="3">
        <f t="shared" si="10"/>
        <v>108224.10850694444</v>
      </c>
      <c r="K23" s="3">
        <f t="shared" si="10"/>
        <v>96199.207561728384</v>
      </c>
      <c r="L23" s="3">
        <f t="shared" si="10"/>
        <v>84174.306616512331</v>
      </c>
      <c r="M23" s="3">
        <f t="shared" si="10"/>
        <v>72149.405671296277</v>
      </c>
      <c r="N23" s="3">
        <f t="shared" si="10"/>
        <v>60124.504726080231</v>
      </c>
      <c r="O23" s="3">
        <f t="shared" si="10"/>
        <v>48099.603780864185</v>
      </c>
      <c r="P23" s="3">
        <f t="shared" si="10"/>
        <v>36074.702835648139</v>
      </c>
      <c r="Q23" s="3">
        <f t="shared" si="10"/>
        <v>24049.801890432092</v>
      </c>
      <c r="R23" s="3">
        <f t="shared" si="10"/>
        <v>12024.900945216044</v>
      </c>
      <c r="S23" s="3">
        <f t="shared" si="10"/>
        <v>0</v>
      </c>
      <c r="T23" s="6"/>
      <c r="U23" s="6"/>
      <c r="V23" s="6"/>
      <c r="W23" s="6"/>
      <c r="X23" s="6"/>
      <c r="Y23" s="6"/>
      <c r="Z23" s="6"/>
      <c r="AA23" s="6"/>
      <c r="AB23" s="5">
        <f t="shared" si="5"/>
        <v>-185832.39228780867</v>
      </c>
      <c r="AC23" s="6" t="s">
        <v>9</v>
      </c>
      <c r="AD23" s="31">
        <f t="shared" si="9"/>
        <v>-29508.679999999993</v>
      </c>
      <c r="AE23" s="3">
        <v>29508.68</v>
      </c>
      <c r="AF23" s="5">
        <v>156323.71228780868</v>
      </c>
      <c r="AG23" s="5">
        <v>1475434</v>
      </c>
      <c r="AH23" s="3">
        <v>-59000</v>
      </c>
      <c r="AI23" s="18"/>
      <c r="AJ23" s="10">
        <f t="shared" si="6"/>
        <v>-88508.68</v>
      </c>
      <c r="AK23" s="30">
        <f t="shared" si="7"/>
        <v>0.02</v>
      </c>
      <c r="AO23" s="7"/>
      <c r="AP23" s="3"/>
      <c r="AQ23" s="5"/>
      <c r="AR23" s="5"/>
      <c r="AS23" s="3"/>
      <c r="AT23" s="3"/>
      <c r="AU23" s="5"/>
    </row>
    <row r="24" spans="2:47" x14ac:dyDescent="0.35">
      <c r="B24" s="6" t="s">
        <v>9</v>
      </c>
      <c r="C24" s="6"/>
      <c r="D24" s="6"/>
      <c r="E24" s="6"/>
      <c r="F24" s="6"/>
      <c r="G24" s="6"/>
      <c r="H24" s="5">
        <f>+SUM(G20:G23)-SUM(H20:H23)</f>
        <v>156323.71228780854</v>
      </c>
      <c r="I24" s="3">
        <f>+H24-$H$24/12</f>
        <v>143296.73626382448</v>
      </c>
      <c r="J24" s="3">
        <f t="shared" ref="J24:T24" si="11">+I24-$H$24/12</f>
        <v>130269.76023984044</v>
      </c>
      <c r="K24" s="3">
        <f t="shared" si="11"/>
        <v>117242.7842158564</v>
      </c>
      <c r="L24" s="3">
        <f t="shared" si="11"/>
        <v>104215.80819187236</v>
      </c>
      <c r="M24" s="3">
        <f t="shared" si="11"/>
        <v>91188.832167888322</v>
      </c>
      <c r="N24" s="3">
        <f t="shared" si="11"/>
        <v>78161.856143904282</v>
      </c>
      <c r="O24" s="3">
        <f t="shared" si="11"/>
        <v>65134.880119920235</v>
      </c>
      <c r="P24" s="3">
        <f t="shared" si="11"/>
        <v>52107.904095936188</v>
      </c>
      <c r="Q24" s="3">
        <f t="shared" si="11"/>
        <v>39080.928071952141</v>
      </c>
      <c r="R24" s="3">
        <f t="shared" si="11"/>
        <v>26053.952047968094</v>
      </c>
      <c r="S24" s="3">
        <f t="shared" si="11"/>
        <v>13026.976023984049</v>
      </c>
      <c r="T24" s="3">
        <f t="shared" si="11"/>
        <v>0</v>
      </c>
      <c r="U24" s="6"/>
      <c r="V24" s="6"/>
      <c r="W24" s="6"/>
      <c r="X24" s="6"/>
      <c r="Y24" s="6"/>
      <c r="Z24" s="6"/>
      <c r="AA24" s="6"/>
      <c r="AB24" s="5">
        <f t="shared" si="5"/>
        <v>-198859.36831179276</v>
      </c>
      <c r="AC24" s="6" t="s">
        <v>10</v>
      </c>
      <c r="AD24" s="31">
        <f t="shared" si="9"/>
        <v>-29508.679999999993</v>
      </c>
      <c r="AE24" s="3">
        <v>29508.68</v>
      </c>
      <c r="AF24" s="5">
        <v>169350.68831179276</v>
      </c>
      <c r="AG24" s="5">
        <v>1475434</v>
      </c>
      <c r="AH24" s="3"/>
      <c r="AI24" s="18"/>
      <c r="AJ24" s="10">
        <f t="shared" si="6"/>
        <v>-29508.679999999993</v>
      </c>
      <c r="AK24" s="30">
        <f t="shared" si="7"/>
        <v>0.02</v>
      </c>
      <c r="AO24" s="7"/>
      <c r="AP24" s="3"/>
      <c r="AQ24" s="5"/>
      <c r="AR24" s="5"/>
      <c r="AS24" s="3"/>
      <c r="AT24" s="3"/>
      <c r="AU24" s="5"/>
    </row>
    <row r="25" spans="2:47" x14ac:dyDescent="0.35">
      <c r="B25" s="6" t="s">
        <v>10</v>
      </c>
      <c r="C25" s="6"/>
      <c r="D25" s="6"/>
      <c r="E25" s="6"/>
      <c r="F25" s="6"/>
      <c r="G25" s="6"/>
      <c r="H25" s="6"/>
      <c r="I25" s="5">
        <f>+SUM(H20:H24)-SUM(I20:I24)</f>
        <v>169350.68831179291</v>
      </c>
      <c r="J25" s="3">
        <f>+I25-$I$25/12</f>
        <v>155238.13095247684</v>
      </c>
      <c r="K25" s="3">
        <f t="shared" ref="K25:U25" si="12">+J25-$I$25/12</f>
        <v>141125.57359316078</v>
      </c>
      <c r="L25" s="3">
        <f t="shared" si="12"/>
        <v>127013.0162338447</v>
      </c>
      <c r="M25" s="3">
        <f t="shared" si="12"/>
        <v>112900.45887452862</v>
      </c>
      <c r="N25" s="3">
        <f t="shared" si="12"/>
        <v>98787.901515212536</v>
      </c>
      <c r="O25" s="3">
        <f t="shared" si="12"/>
        <v>84675.344155896455</v>
      </c>
      <c r="P25" s="3">
        <f t="shared" si="12"/>
        <v>70562.786796580374</v>
      </c>
      <c r="Q25" s="3">
        <f t="shared" si="12"/>
        <v>56450.229437264301</v>
      </c>
      <c r="R25" s="3">
        <f t="shared" si="12"/>
        <v>42337.672077948228</v>
      </c>
      <c r="S25" s="3">
        <f t="shared" si="12"/>
        <v>28225.114718632154</v>
      </c>
      <c r="T25" s="3">
        <f t="shared" si="12"/>
        <v>14112.557359316079</v>
      </c>
      <c r="U25" s="3">
        <f t="shared" si="12"/>
        <v>0</v>
      </c>
      <c r="V25" s="6"/>
      <c r="W25" s="6"/>
      <c r="X25" s="6"/>
      <c r="Y25" s="6"/>
      <c r="Z25" s="6"/>
      <c r="AA25" s="6"/>
      <c r="AB25" s="5">
        <f t="shared" si="5"/>
        <v>-212971.92567110879</v>
      </c>
      <c r="AC25" s="6" t="s">
        <v>11</v>
      </c>
      <c r="AD25" s="31">
        <f t="shared" si="9"/>
        <v>-29508.679999999993</v>
      </c>
      <c r="AE25" s="3">
        <v>29508.680000000004</v>
      </c>
      <c r="AF25" s="5">
        <v>183463.2456711088</v>
      </c>
      <c r="AG25" s="5">
        <v>1475434</v>
      </c>
      <c r="AH25" s="3"/>
      <c r="AI25" s="18"/>
      <c r="AJ25" s="10">
        <f t="shared" si="6"/>
        <v>-29508.679999999993</v>
      </c>
      <c r="AK25" s="30">
        <f t="shared" si="7"/>
        <v>2.0000000000000004E-2</v>
      </c>
      <c r="AO25" s="7"/>
      <c r="AP25" s="3"/>
      <c r="AQ25" s="5"/>
      <c r="AR25" s="5"/>
      <c r="AS25" s="3"/>
      <c r="AT25" s="3"/>
      <c r="AU25" s="5"/>
    </row>
    <row r="26" spans="2:47" x14ac:dyDescent="0.35">
      <c r="B26" s="6" t="s">
        <v>11</v>
      </c>
      <c r="C26" s="6"/>
      <c r="D26" s="6"/>
      <c r="E26" s="6"/>
      <c r="F26" s="6"/>
      <c r="G26" s="6"/>
      <c r="H26" s="6"/>
      <c r="I26" s="6"/>
      <c r="J26" s="5">
        <f>+SUM(I20:I25)-SUM(J20:J25)</f>
        <v>183463.2456711086</v>
      </c>
      <c r="K26" s="3">
        <f>+J26-$J$26/12</f>
        <v>168174.64186518287</v>
      </c>
      <c r="L26" s="3">
        <f t="shared" ref="L26:V26" si="13">+K26-$J$26/12</f>
        <v>152886.03805925715</v>
      </c>
      <c r="M26" s="3">
        <f t="shared" si="13"/>
        <v>137597.43425333142</v>
      </c>
      <c r="N26" s="3">
        <f t="shared" si="13"/>
        <v>122308.83044740571</v>
      </c>
      <c r="O26" s="3">
        <f t="shared" si="13"/>
        <v>107020.22664148</v>
      </c>
      <c r="P26" s="3">
        <f t="shared" si="13"/>
        <v>91731.622835554284</v>
      </c>
      <c r="Q26" s="3">
        <f t="shared" si="13"/>
        <v>76443.019029628573</v>
      </c>
      <c r="R26" s="3">
        <f t="shared" si="13"/>
        <v>61154.415223702854</v>
      </c>
      <c r="S26" s="3">
        <f t="shared" si="13"/>
        <v>45865.811417777135</v>
      </c>
      <c r="T26" s="3">
        <f t="shared" si="13"/>
        <v>30577.207611851416</v>
      </c>
      <c r="U26" s="3">
        <f t="shared" si="13"/>
        <v>15288.603805925699</v>
      </c>
      <c r="V26" s="3">
        <f t="shared" si="13"/>
        <v>-1.8189894035458565E-11</v>
      </c>
      <c r="W26" s="6"/>
      <c r="X26" s="6"/>
      <c r="Y26" s="6"/>
      <c r="Z26" s="6"/>
      <c r="AA26" s="6"/>
      <c r="AB26" s="5">
        <f t="shared" si="5"/>
        <v>-228260.52947703452</v>
      </c>
      <c r="AC26" s="6" t="s">
        <v>12</v>
      </c>
      <c r="AD26" s="31">
        <f t="shared" si="9"/>
        <v>-29508.679999999993</v>
      </c>
      <c r="AE26" s="3">
        <v>29508.68</v>
      </c>
      <c r="AF26" s="5">
        <v>198751.84947703453</v>
      </c>
      <c r="AG26" s="5">
        <v>1475434</v>
      </c>
      <c r="AH26" s="3">
        <v>-59000</v>
      </c>
      <c r="AI26" s="18"/>
      <c r="AJ26" s="10">
        <f t="shared" si="6"/>
        <v>-88508.68</v>
      </c>
      <c r="AK26" s="30">
        <f t="shared" si="7"/>
        <v>0.02</v>
      </c>
      <c r="AO26" s="7"/>
      <c r="AP26" s="3"/>
      <c r="AQ26" s="5"/>
      <c r="AR26" s="5"/>
      <c r="AS26" s="3"/>
      <c r="AT26" s="3"/>
      <c r="AU26" s="5"/>
    </row>
    <row r="27" spans="2:47" x14ac:dyDescent="0.35">
      <c r="B27" s="6" t="s">
        <v>12</v>
      </c>
      <c r="C27" s="6"/>
      <c r="D27" s="6"/>
      <c r="E27" s="6"/>
      <c r="F27" s="6"/>
      <c r="G27" s="6"/>
      <c r="H27" s="6"/>
      <c r="I27" s="6"/>
      <c r="J27" s="6"/>
      <c r="K27" s="5">
        <f>+SUM(J20:J26)-SUM(K20:K26)</f>
        <v>198751.84947703429</v>
      </c>
      <c r="L27" s="3">
        <f>+K27-$K$27/12</f>
        <v>182189.1953539481</v>
      </c>
      <c r="M27" s="3">
        <f t="shared" ref="M27:W27" si="14">+L27-$K$27/12</f>
        <v>165626.54123086191</v>
      </c>
      <c r="N27" s="3">
        <f t="shared" si="14"/>
        <v>149063.88710777572</v>
      </c>
      <c r="O27" s="3">
        <f t="shared" si="14"/>
        <v>132501.23298468953</v>
      </c>
      <c r="P27" s="3">
        <f t="shared" si="14"/>
        <v>115938.57886160334</v>
      </c>
      <c r="Q27" s="3">
        <f t="shared" si="14"/>
        <v>99375.924738517147</v>
      </c>
      <c r="R27" s="3">
        <f t="shared" si="14"/>
        <v>82813.270615430956</v>
      </c>
      <c r="S27" s="3">
        <f t="shared" si="14"/>
        <v>66250.616492344765</v>
      </c>
      <c r="T27" s="3">
        <f t="shared" si="14"/>
        <v>49687.962369258574</v>
      </c>
      <c r="U27" s="3">
        <f t="shared" si="14"/>
        <v>33125.308246172382</v>
      </c>
      <c r="V27" s="3">
        <f t="shared" si="14"/>
        <v>16562.654123086191</v>
      </c>
      <c r="W27" s="3">
        <f t="shared" si="14"/>
        <v>0</v>
      </c>
      <c r="X27" s="6"/>
      <c r="Y27" s="6"/>
      <c r="Z27" s="6"/>
      <c r="AA27" s="6"/>
      <c r="AB27" s="5">
        <f t="shared" si="5"/>
        <v>-244823.18360012068</v>
      </c>
      <c r="AC27" s="6" t="s">
        <v>13</v>
      </c>
      <c r="AD27" s="31">
        <f t="shared" si="9"/>
        <v>-29508.679999999993</v>
      </c>
      <c r="AE27" s="3">
        <v>29508.679999999993</v>
      </c>
      <c r="AF27" s="5">
        <v>215314.50360012069</v>
      </c>
      <c r="AG27" s="5">
        <v>1475434</v>
      </c>
      <c r="AH27" s="3"/>
      <c r="AI27" s="18"/>
      <c r="AJ27" s="10">
        <f t="shared" si="6"/>
        <v>-29508.679999999993</v>
      </c>
      <c r="AK27" s="30">
        <f t="shared" si="7"/>
        <v>1.9999999999999997E-2</v>
      </c>
      <c r="AO27" s="7"/>
      <c r="AP27" s="3"/>
      <c r="AQ27" s="5"/>
      <c r="AR27" s="5"/>
      <c r="AS27" s="3"/>
      <c r="AT27" s="3"/>
      <c r="AU27" s="5"/>
    </row>
    <row r="28" spans="2:47" x14ac:dyDescent="0.35">
      <c r="B28" s="6" t="s">
        <v>13</v>
      </c>
      <c r="C28" s="6"/>
      <c r="D28" s="6"/>
      <c r="E28" s="6"/>
      <c r="F28" s="6"/>
      <c r="G28" s="6"/>
      <c r="H28" s="6"/>
      <c r="I28" s="6"/>
      <c r="J28" s="6"/>
      <c r="K28" s="6"/>
      <c r="L28" s="5">
        <f>+SUM(K20:K27)-SUM(L20:L27)</f>
        <v>215314.50360012101</v>
      </c>
      <c r="M28" s="3">
        <f>+L28-$L$28/12</f>
        <v>197371.62830011093</v>
      </c>
      <c r="N28" s="3">
        <f t="shared" ref="N28:W28" si="15">+M28-$L$28/12</f>
        <v>179428.75300010084</v>
      </c>
      <c r="O28" s="3">
        <f t="shared" si="15"/>
        <v>161485.87770009076</v>
      </c>
      <c r="P28" s="3">
        <f t="shared" si="15"/>
        <v>143543.00240008067</v>
      </c>
      <c r="Q28" s="3">
        <f t="shared" si="15"/>
        <v>125600.12710007059</v>
      </c>
      <c r="R28" s="3">
        <f t="shared" si="15"/>
        <v>107657.25180006051</v>
      </c>
      <c r="S28" s="3">
        <f t="shared" si="15"/>
        <v>89714.376500050421</v>
      </c>
      <c r="T28" s="3">
        <f t="shared" si="15"/>
        <v>71771.501200040337</v>
      </c>
      <c r="U28" s="3">
        <f t="shared" si="15"/>
        <v>53828.625900030253</v>
      </c>
      <c r="V28" s="3">
        <f t="shared" si="15"/>
        <v>35885.750600020168</v>
      </c>
      <c r="W28" s="3">
        <f t="shared" si="15"/>
        <v>17942.875300010084</v>
      </c>
      <c r="X28" s="3">
        <f>+W28-$L$28/12</f>
        <v>0</v>
      </c>
      <c r="Y28" s="6"/>
      <c r="Z28" s="6"/>
      <c r="AA28" s="6"/>
      <c r="AB28" s="5">
        <f t="shared" si="5"/>
        <v>-262766.05890013074</v>
      </c>
      <c r="AC28" s="6" t="s">
        <v>14</v>
      </c>
      <c r="AD28" s="31">
        <f t="shared" si="9"/>
        <v>-29508.680000000022</v>
      </c>
      <c r="AE28" s="3">
        <v>29508.680000000004</v>
      </c>
      <c r="AF28" s="5">
        <v>233257.37890013072</v>
      </c>
      <c r="AG28" s="5">
        <v>1475434</v>
      </c>
      <c r="AH28" s="3"/>
      <c r="AI28" s="18"/>
      <c r="AJ28" s="10">
        <f t="shared" si="6"/>
        <v>-29508.680000000022</v>
      </c>
      <c r="AK28" s="30">
        <f t="shared" si="7"/>
        <v>2.0000000000000004E-2</v>
      </c>
      <c r="AO28" s="7"/>
      <c r="AP28" s="3"/>
      <c r="AQ28" s="5"/>
      <c r="AR28" s="5"/>
      <c r="AS28" s="3"/>
      <c r="AT28" s="3"/>
      <c r="AU28" s="5"/>
    </row>
    <row r="29" spans="2:47" x14ac:dyDescent="0.35">
      <c r="B29" s="6" t="s">
        <v>14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5">
        <f>+SUM(L20:L28)-SUM(M20:M28)</f>
        <v>233257.37890013075</v>
      </c>
      <c r="N29" s="3">
        <f>+M29-$M$29/12</f>
        <v>213819.26399178652</v>
      </c>
      <c r="O29" s="3">
        <f t="shared" ref="O29:Y29" si="16">+N29-$M$29/12</f>
        <v>194381.14908344229</v>
      </c>
      <c r="P29" s="3">
        <f t="shared" si="16"/>
        <v>174943.03417509806</v>
      </c>
      <c r="Q29" s="3">
        <f t="shared" si="16"/>
        <v>155504.91926675383</v>
      </c>
      <c r="R29" s="3">
        <f t="shared" si="16"/>
        <v>136066.8043584096</v>
      </c>
      <c r="S29" s="3">
        <f t="shared" si="16"/>
        <v>116628.68945006537</v>
      </c>
      <c r="T29" s="3">
        <f t="shared" si="16"/>
        <v>97190.574541721144</v>
      </c>
      <c r="U29" s="3">
        <f t="shared" si="16"/>
        <v>77752.459633376915</v>
      </c>
      <c r="V29" s="3">
        <f t="shared" si="16"/>
        <v>58314.344725032686</v>
      </c>
      <c r="W29" s="3">
        <f t="shared" si="16"/>
        <v>38876.229816688458</v>
      </c>
      <c r="X29" s="3">
        <f t="shared" si="16"/>
        <v>19438.114908344229</v>
      </c>
      <c r="Y29" s="3">
        <f t="shared" si="16"/>
        <v>0</v>
      </c>
      <c r="Z29" s="6"/>
      <c r="AA29" s="6"/>
      <c r="AB29" s="5">
        <f t="shared" si="5"/>
        <v>-282204.17380847491</v>
      </c>
      <c r="AC29" s="6" t="s">
        <v>15</v>
      </c>
      <c r="AD29" s="31">
        <f t="shared" si="9"/>
        <v>-29508.679999999993</v>
      </c>
      <c r="AE29" s="3">
        <v>29508.680000000004</v>
      </c>
      <c r="AF29" s="5">
        <v>252695.49380847492</v>
      </c>
      <c r="AG29" s="5">
        <v>1475434</v>
      </c>
      <c r="AH29" s="3">
        <v>-59000</v>
      </c>
      <c r="AI29" s="18"/>
      <c r="AJ29" s="10">
        <f t="shared" si="6"/>
        <v>-88508.68</v>
      </c>
      <c r="AK29" s="30">
        <f t="shared" si="7"/>
        <v>2.0000000000000004E-2</v>
      </c>
      <c r="AO29" s="7"/>
      <c r="AP29" s="3"/>
      <c r="AQ29" s="5"/>
      <c r="AR29" s="5"/>
      <c r="AS29" s="3"/>
      <c r="AT29" s="3"/>
      <c r="AU29" s="5"/>
    </row>
    <row r="30" spans="2:47" x14ac:dyDescent="0.35">
      <c r="B30" s="6" t="s">
        <v>15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5">
        <f>+SUM(M20:M29)-SUM(N20:N29)</f>
        <v>252695.49380847486</v>
      </c>
      <c r="O30" s="3">
        <f>+N30-$N$30/12</f>
        <v>231637.53599110196</v>
      </c>
      <c r="P30" s="3">
        <f t="shared" ref="P30:Z30" si="17">+O30-$N$30/12</f>
        <v>210579.57817372907</v>
      </c>
      <c r="Q30" s="3">
        <f t="shared" si="17"/>
        <v>189521.62035635617</v>
      </c>
      <c r="R30" s="3">
        <f t="shared" si="17"/>
        <v>168463.66253898328</v>
      </c>
      <c r="S30" s="3">
        <f t="shared" si="17"/>
        <v>147405.70472161038</v>
      </c>
      <c r="T30" s="3">
        <f t="shared" si="17"/>
        <v>126347.74690423747</v>
      </c>
      <c r="U30" s="3">
        <f t="shared" si="17"/>
        <v>105289.78908686456</v>
      </c>
      <c r="V30" s="3">
        <f t="shared" si="17"/>
        <v>84231.831269491653</v>
      </c>
      <c r="W30" s="3">
        <f t="shared" si="17"/>
        <v>63173.873452118743</v>
      </c>
      <c r="X30" s="3">
        <f t="shared" si="17"/>
        <v>42115.915634745834</v>
      </c>
      <c r="Y30" s="3">
        <f t="shared" si="17"/>
        <v>21057.957817372928</v>
      </c>
      <c r="Z30" s="3">
        <f t="shared" si="17"/>
        <v>0</v>
      </c>
      <c r="AA30" s="6"/>
      <c r="AB30" s="5">
        <f t="shared" si="5"/>
        <v>-303262.13162584783</v>
      </c>
      <c r="AC30" s="6" t="s">
        <v>16</v>
      </c>
      <c r="AD30" s="31">
        <f t="shared" si="9"/>
        <v>-29508.679999999993</v>
      </c>
      <c r="AE30" s="3">
        <v>29508.680000000004</v>
      </c>
      <c r="AF30" s="5">
        <v>273753.45162584784</v>
      </c>
      <c r="AG30" s="5">
        <v>1475434</v>
      </c>
      <c r="AH30" s="3"/>
      <c r="AI30" s="18"/>
      <c r="AJ30" s="10">
        <f t="shared" si="6"/>
        <v>-29508.679999999993</v>
      </c>
      <c r="AK30" s="30">
        <f t="shared" si="7"/>
        <v>2.0000000000000004E-2</v>
      </c>
      <c r="AL30" s="5"/>
      <c r="AO30" s="6" t="s">
        <v>99</v>
      </c>
      <c r="AP30" s="7"/>
      <c r="AQ30" s="3"/>
      <c r="AR30" s="5"/>
      <c r="AS30" s="3"/>
      <c r="AT30" s="3"/>
      <c r="AU30" s="5"/>
    </row>
    <row r="31" spans="2:47" x14ac:dyDescent="0.35">
      <c r="B31" s="6" t="s">
        <v>16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5">
        <f>+SUM(N20:N30)-SUM(O20:O30)</f>
        <v>273753.45162584796</v>
      </c>
      <c r="P31" s="3">
        <f>+O31-$O$31/12</f>
        <v>250940.66399036063</v>
      </c>
      <c r="Q31" s="3">
        <f t="shared" ref="Q31:Z31" si="18">+P31-$O$31/12</f>
        <v>228127.8763548733</v>
      </c>
      <c r="R31" s="3">
        <f t="shared" si="18"/>
        <v>205315.08871938597</v>
      </c>
      <c r="S31" s="3">
        <f t="shared" si="18"/>
        <v>182502.30108389864</v>
      </c>
      <c r="T31" s="3">
        <f t="shared" si="18"/>
        <v>159689.51344841131</v>
      </c>
      <c r="U31" s="3">
        <f t="shared" si="18"/>
        <v>136876.72581292398</v>
      </c>
      <c r="V31" s="3">
        <f t="shared" si="18"/>
        <v>114063.93817743665</v>
      </c>
      <c r="W31" s="3">
        <f t="shared" si="18"/>
        <v>91251.150541949319</v>
      </c>
      <c r="X31" s="3">
        <f t="shared" si="18"/>
        <v>68438.362906461989</v>
      </c>
      <c r="Y31" s="3">
        <f t="shared" si="18"/>
        <v>45625.575270974659</v>
      </c>
      <c r="Z31" s="3">
        <f t="shared" si="18"/>
        <v>22812.78763548733</v>
      </c>
      <c r="AA31" s="6"/>
      <c r="AB31" s="5">
        <f t="shared" si="5"/>
        <v>-1504942.68</v>
      </c>
      <c r="AC31" s="6" t="s">
        <v>17</v>
      </c>
      <c r="AD31" s="31">
        <f t="shared" ref="AD31" si="19">+-AF31-AE31</f>
        <v>-1504942.68</v>
      </c>
      <c r="AE31" s="3">
        <v>29508.680000000004</v>
      </c>
      <c r="AF31" s="5">
        <v>1475434</v>
      </c>
      <c r="AG31" s="5">
        <v>1475434</v>
      </c>
      <c r="AH31" s="3"/>
      <c r="AI31" s="18"/>
      <c r="AJ31" s="10">
        <f t="shared" si="6"/>
        <v>-1504942.68</v>
      </c>
      <c r="AK31" s="5">
        <f>+AVERAGE(AG19:AG30)</f>
        <v>1475434</v>
      </c>
      <c r="AL31" s="5">
        <f>+AVERAGE(AG19:AG30)</f>
        <v>1475434</v>
      </c>
      <c r="AM31" s="5">
        <f>+SUM(AE20:AE31)</f>
        <v>354104.16</v>
      </c>
      <c r="AN31" s="5">
        <f>+-SUM(AH20:AH31)</f>
        <v>236000</v>
      </c>
      <c r="AO31" s="5">
        <f>+AN31+AM31</f>
        <v>590104.15999999992</v>
      </c>
      <c r="AP31" s="2">
        <f>+AO31/AL31</f>
        <v>0.39995293588191672</v>
      </c>
      <c r="AQ31" s="2">
        <f>+AP31/12</f>
        <v>3.3329411323493062E-2</v>
      </c>
      <c r="AR31" s="13">
        <f>+(1+AQ31)^(12)-1</f>
        <v>0.48205898624819099</v>
      </c>
      <c r="AS31" s="3"/>
      <c r="AT31" s="3"/>
      <c r="AU31" s="5"/>
    </row>
    <row r="32" spans="2:47" x14ac:dyDescent="0.35">
      <c r="B32" s="6" t="s">
        <v>17</v>
      </c>
      <c r="C32" s="6"/>
      <c r="P32" s="5">
        <f>+SUM(O20:O31)-SUM(P20:P31)</f>
        <v>296566.23926133499</v>
      </c>
      <c r="AE32" s="5">
        <f>+SUM(AE20:AE31)</f>
        <v>354104.16</v>
      </c>
      <c r="AG32" s="5">
        <f>+AVERAGE(AG19:AG31)</f>
        <v>1475434</v>
      </c>
      <c r="AK32" s="30">
        <f>+AE32/AG32</f>
        <v>0.24</v>
      </c>
    </row>
    <row r="33" spans="2:37" x14ac:dyDescent="0.35">
      <c r="AK33" s="30"/>
    </row>
    <row r="34" spans="2:37" x14ac:dyDescent="0.35">
      <c r="P34" s="5"/>
    </row>
    <row r="35" spans="2:37" x14ac:dyDescent="0.35">
      <c r="B35" s="26" t="s">
        <v>105</v>
      </c>
      <c r="C35" s="26"/>
      <c r="D35" s="27">
        <f>+SUM(D36:D48)</f>
        <v>0</v>
      </c>
      <c r="E35" s="27">
        <f t="shared" ref="E35:P35" si="20">+SUM(E36:E48)</f>
        <v>-122952.83333333326</v>
      </c>
      <c r="F35" s="27">
        <f t="shared" si="20"/>
        <v>-133198.90277777769</v>
      </c>
      <c r="G35" s="27">
        <f t="shared" si="20"/>
        <v>-144298.81134259253</v>
      </c>
      <c r="H35" s="27">
        <f t="shared" si="20"/>
        <v>-156323.71228780868</v>
      </c>
      <c r="I35" s="27">
        <f t="shared" si="20"/>
        <v>-169350.68831179276</v>
      </c>
      <c r="J35" s="27">
        <f t="shared" si="20"/>
        <v>-183463.2456711088</v>
      </c>
      <c r="K35" s="27">
        <f t="shared" si="20"/>
        <v>-198751.84947703453</v>
      </c>
      <c r="L35" s="27">
        <f t="shared" si="20"/>
        <v>-215314.50360012069</v>
      </c>
      <c r="M35" s="27">
        <f t="shared" si="20"/>
        <v>-233257.37890013072</v>
      </c>
      <c r="N35" s="27">
        <f t="shared" si="20"/>
        <v>-252695.49380847492</v>
      </c>
      <c r="O35" s="27">
        <f t="shared" si="20"/>
        <v>-273753.45162584784</v>
      </c>
      <c r="P35" s="27">
        <f t="shared" si="20"/>
        <v>-1475434</v>
      </c>
    </row>
    <row r="36" spans="2:37" x14ac:dyDescent="0.35">
      <c r="B36" s="6" t="s">
        <v>6</v>
      </c>
      <c r="C36" s="6"/>
      <c r="E36" s="24">
        <f>+E20-D20</f>
        <v>-122952.83333333326</v>
      </c>
      <c r="F36" s="24">
        <f t="shared" ref="F36:O36" si="21">+F20-E20</f>
        <v>-122952.83333333326</v>
      </c>
      <c r="G36" s="24">
        <f t="shared" si="21"/>
        <v>-122952.83333333326</v>
      </c>
      <c r="H36" s="24">
        <f t="shared" si="21"/>
        <v>-122952.83333333337</v>
      </c>
      <c r="I36" s="24">
        <f t="shared" si="21"/>
        <v>-122952.83333333337</v>
      </c>
      <c r="J36" s="24">
        <f t="shared" si="21"/>
        <v>-122952.83333333337</v>
      </c>
      <c r="K36" s="24">
        <f t="shared" si="21"/>
        <v>-122952.83333333337</v>
      </c>
      <c r="L36" s="24">
        <f t="shared" si="21"/>
        <v>-122952.83333333331</v>
      </c>
      <c r="M36" s="24">
        <f t="shared" si="21"/>
        <v>-122952.83333333331</v>
      </c>
      <c r="N36" s="24">
        <f t="shared" si="21"/>
        <v>-122952.83333333331</v>
      </c>
      <c r="O36" s="24">
        <f t="shared" si="21"/>
        <v>-122952.83333333333</v>
      </c>
      <c r="P36" s="24"/>
    </row>
    <row r="37" spans="2:37" x14ac:dyDescent="0.35">
      <c r="B37" s="6" t="s">
        <v>7</v>
      </c>
      <c r="C37" s="6"/>
      <c r="E37" s="24"/>
      <c r="F37" s="24">
        <f t="shared" ref="F37:O37" si="22">+F21-E21</f>
        <v>-10246.069444444438</v>
      </c>
      <c r="G37" s="24">
        <f t="shared" si="22"/>
        <v>-10246.069444444438</v>
      </c>
      <c r="H37" s="24">
        <f t="shared" si="22"/>
        <v>-10246.069444444438</v>
      </c>
      <c r="I37" s="24">
        <f t="shared" si="22"/>
        <v>-10246.069444444438</v>
      </c>
      <c r="J37" s="24">
        <f t="shared" si="22"/>
        <v>-10246.069444444438</v>
      </c>
      <c r="K37" s="24">
        <f t="shared" si="22"/>
        <v>-10246.069444444438</v>
      </c>
      <c r="L37" s="24">
        <f t="shared" si="22"/>
        <v>-10246.069444444438</v>
      </c>
      <c r="M37" s="24">
        <f t="shared" si="22"/>
        <v>-10246.069444444438</v>
      </c>
      <c r="N37" s="24">
        <f t="shared" si="22"/>
        <v>-10246.069444444438</v>
      </c>
      <c r="O37" s="24">
        <f t="shared" si="22"/>
        <v>-10246.069444444438</v>
      </c>
      <c r="P37" s="24"/>
    </row>
    <row r="38" spans="2:37" x14ac:dyDescent="0.35">
      <c r="B38" s="6" t="s">
        <v>8</v>
      </c>
      <c r="C38" s="6"/>
      <c r="E38" s="24">
        <f t="shared" ref="E38:E47" si="23">+E22-D22</f>
        <v>0</v>
      </c>
      <c r="F38" s="24"/>
      <c r="G38" s="24">
        <f t="shared" ref="G38:O38" si="24">+G22-F22</f>
        <v>-11099.908564814818</v>
      </c>
      <c r="H38" s="24">
        <f t="shared" si="24"/>
        <v>-11099.908564814818</v>
      </c>
      <c r="I38" s="24">
        <f t="shared" si="24"/>
        <v>-11099.908564814818</v>
      </c>
      <c r="J38" s="24">
        <f t="shared" si="24"/>
        <v>-11099.908564814818</v>
      </c>
      <c r="K38" s="24">
        <f t="shared" si="24"/>
        <v>-11099.908564814818</v>
      </c>
      <c r="L38" s="24">
        <f t="shared" si="24"/>
        <v>-11099.908564814818</v>
      </c>
      <c r="M38" s="24">
        <f t="shared" si="24"/>
        <v>-11099.90856481481</v>
      </c>
      <c r="N38" s="24">
        <f t="shared" si="24"/>
        <v>-11099.90856481481</v>
      </c>
      <c r="O38" s="24">
        <f t="shared" si="24"/>
        <v>-11099.90856481481</v>
      </c>
      <c r="P38" s="24"/>
    </row>
    <row r="39" spans="2:37" x14ac:dyDescent="0.35">
      <c r="B39" s="6" t="s">
        <v>9</v>
      </c>
      <c r="C39" s="6"/>
      <c r="E39" s="24">
        <f t="shared" si="23"/>
        <v>0</v>
      </c>
      <c r="F39" s="24">
        <f t="shared" ref="F39:F47" si="25">+F23-E23</f>
        <v>0</v>
      </c>
      <c r="G39" s="24"/>
      <c r="H39" s="24">
        <f t="shared" ref="H39:O39" si="26">+H23-G23</f>
        <v>-12024.900945216039</v>
      </c>
      <c r="I39" s="24">
        <f t="shared" si="26"/>
        <v>-12024.900945216054</v>
      </c>
      <c r="J39" s="24">
        <f t="shared" si="26"/>
        <v>-12024.900945216054</v>
      </c>
      <c r="K39" s="24">
        <f t="shared" si="26"/>
        <v>-12024.900945216054</v>
      </c>
      <c r="L39" s="24">
        <f t="shared" si="26"/>
        <v>-12024.900945216054</v>
      </c>
      <c r="M39" s="24">
        <f t="shared" si="26"/>
        <v>-12024.900945216054</v>
      </c>
      <c r="N39" s="24">
        <f t="shared" si="26"/>
        <v>-12024.900945216046</v>
      </c>
      <c r="O39" s="24">
        <f t="shared" si="26"/>
        <v>-12024.900945216046</v>
      </c>
      <c r="P39" s="24"/>
    </row>
    <row r="40" spans="2:37" x14ac:dyDescent="0.35">
      <c r="B40" s="6" t="s">
        <v>10</v>
      </c>
      <c r="C40" s="6"/>
      <c r="E40" s="24">
        <f t="shared" si="23"/>
        <v>0</v>
      </c>
      <c r="F40" s="24">
        <f t="shared" si="25"/>
        <v>0</v>
      </c>
      <c r="G40" s="24">
        <f t="shared" ref="G40:G47" si="27">+G24-F24</f>
        <v>0</v>
      </c>
      <c r="H40" s="24"/>
      <c r="I40" s="24">
        <f t="shared" ref="I40:O40" si="28">+I24-H24</f>
        <v>-13026.976023984054</v>
      </c>
      <c r="J40" s="24">
        <f t="shared" si="28"/>
        <v>-13026.97602398404</v>
      </c>
      <c r="K40" s="24">
        <f t="shared" si="28"/>
        <v>-13026.97602398404</v>
      </c>
      <c r="L40" s="24">
        <f t="shared" si="28"/>
        <v>-13026.97602398404</v>
      </c>
      <c r="M40" s="24">
        <f t="shared" si="28"/>
        <v>-13026.97602398404</v>
      </c>
      <c r="N40" s="24">
        <f t="shared" si="28"/>
        <v>-13026.97602398404</v>
      </c>
      <c r="O40" s="24">
        <f t="shared" si="28"/>
        <v>-13026.976023984047</v>
      </c>
      <c r="P40" s="24"/>
    </row>
    <row r="41" spans="2:37" x14ac:dyDescent="0.35">
      <c r="B41" s="6" t="s">
        <v>11</v>
      </c>
      <c r="C41" s="6"/>
      <c r="E41" s="24">
        <f t="shared" si="23"/>
        <v>0</v>
      </c>
      <c r="F41" s="24">
        <f t="shared" si="25"/>
        <v>0</v>
      </c>
      <c r="G41" s="24">
        <f t="shared" si="27"/>
        <v>0</v>
      </c>
      <c r="H41" s="24">
        <f t="shared" ref="H41:H47" si="29">+H25-G25</f>
        <v>0</v>
      </c>
      <c r="I41" s="24"/>
      <c r="J41" s="24">
        <f t="shared" ref="J41:O41" si="30">+J25-I25</f>
        <v>-14112.557359316066</v>
      </c>
      <c r="K41" s="24">
        <f t="shared" si="30"/>
        <v>-14112.557359316066</v>
      </c>
      <c r="L41" s="24">
        <f t="shared" si="30"/>
        <v>-14112.557359316081</v>
      </c>
      <c r="M41" s="24">
        <f t="shared" si="30"/>
        <v>-14112.557359316081</v>
      </c>
      <c r="N41" s="24">
        <f t="shared" si="30"/>
        <v>-14112.557359316081</v>
      </c>
      <c r="O41" s="24">
        <f t="shared" si="30"/>
        <v>-14112.557359316081</v>
      </c>
      <c r="P41" s="24"/>
    </row>
    <row r="42" spans="2:37" x14ac:dyDescent="0.35">
      <c r="B42" s="6" t="s">
        <v>12</v>
      </c>
      <c r="C42" s="6"/>
      <c r="E42" s="24">
        <f t="shared" si="23"/>
        <v>0</v>
      </c>
      <c r="F42" s="24">
        <f t="shared" si="25"/>
        <v>0</v>
      </c>
      <c r="G42" s="24">
        <f t="shared" si="27"/>
        <v>0</v>
      </c>
      <c r="H42" s="24">
        <f t="shared" si="29"/>
        <v>0</v>
      </c>
      <c r="I42" s="24">
        <f t="shared" ref="I42:I47" si="31">+I26-H26</f>
        <v>0</v>
      </c>
      <c r="J42" s="24"/>
      <c r="K42" s="24">
        <f>+K26-J26</f>
        <v>-15288.603805925726</v>
      </c>
      <c r="L42" s="24">
        <f>+L26-K26</f>
        <v>-15288.603805925726</v>
      </c>
      <c r="M42" s="24">
        <f>+M26-L26</f>
        <v>-15288.603805925726</v>
      </c>
      <c r="N42" s="24">
        <f>+N26-M26</f>
        <v>-15288.603805925712</v>
      </c>
      <c r="O42" s="24">
        <f>+O26-N26</f>
        <v>-15288.603805925712</v>
      </c>
      <c r="P42" s="24"/>
    </row>
    <row r="43" spans="2:37" x14ac:dyDescent="0.35">
      <c r="B43" s="6" t="s">
        <v>13</v>
      </c>
      <c r="C43" s="6"/>
      <c r="E43" s="24">
        <f t="shared" si="23"/>
        <v>0</v>
      </c>
      <c r="F43" s="24">
        <f t="shared" si="25"/>
        <v>0</v>
      </c>
      <c r="G43" s="24">
        <f t="shared" si="27"/>
        <v>0</v>
      </c>
      <c r="H43" s="24">
        <f t="shared" si="29"/>
        <v>0</v>
      </c>
      <c r="I43" s="24">
        <f t="shared" si="31"/>
        <v>0</v>
      </c>
      <c r="J43" s="24">
        <f>+J27-I27</f>
        <v>0</v>
      </c>
      <c r="K43" s="24"/>
      <c r="L43" s="24">
        <f>+L27-K27</f>
        <v>-16562.654123086191</v>
      </c>
      <c r="M43" s="24">
        <f>+M27-L27</f>
        <v>-16562.654123086191</v>
      </c>
      <c r="N43" s="24">
        <f>+N27-M27</f>
        <v>-16562.654123086191</v>
      </c>
      <c r="O43" s="24">
        <f>+O27-N27</f>
        <v>-16562.654123086191</v>
      </c>
      <c r="P43" s="24"/>
    </row>
    <row r="44" spans="2:37" x14ac:dyDescent="0.35">
      <c r="B44" s="6" t="s">
        <v>14</v>
      </c>
      <c r="C44" s="6"/>
      <c r="E44" s="24">
        <f t="shared" si="23"/>
        <v>0</v>
      </c>
      <c r="F44" s="24">
        <f t="shared" si="25"/>
        <v>0</v>
      </c>
      <c r="G44" s="24">
        <f t="shared" si="27"/>
        <v>0</v>
      </c>
      <c r="H44" s="24">
        <f t="shared" si="29"/>
        <v>0</v>
      </c>
      <c r="I44" s="24">
        <f t="shared" si="31"/>
        <v>0</v>
      </c>
      <c r="J44" s="24">
        <f>+J28-I28</f>
        <v>0</v>
      </c>
      <c r="K44" s="24">
        <f>+K28-J28</f>
        <v>0</v>
      </c>
      <c r="L44" s="24"/>
      <c r="M44" s="24">
        <f>+M28-L28</f>
        <v>-17942.875300010084</v>
      </c>
      <c r="N44" s="24">
        <f>+N28-M28</f>
        <v>-17942.875300010084</v>
      </c>
      <c r="O44" s="24">
        <f>+O28-N28</f>
        <v>-17942.875300010084</v>
      </c>
      <c r="P44" s="24"/>
    </row>
    <row r="45" spans="2:37" x14ac:dyDescent="0.35">
      <c r="B45" s="6" t="s">
        <v>15</v>
      </c>
      <c r="C45" s="6"/>
      <c r="E45" s="24">
        <f t="shared" si="23"/>
        <v>0</v>
      </c>
      <c r="F45" s="24">
        <f t="shared" si="25"/>
        <v>0</v>
      </c>
      <c r="G45" s="24">
        <f t="shared" si="27"/>
        <v>0</v>
      </c>
      <c r="H45" s="24">
        <f t="shared" si="29"/>
        <v>0</v>
      </c>
      <c r="I45" s="24">
        <f t="shared" si="31"/>
        <v>0</v>
      </c>
      <c r="J45" s="24">
        <f>+J29-I29</f>
        <v>0</v>
      </c>
      <c r="K45" s="24">
        <f>+K29-J29</f>
        <v>0</v>
      </c>
      <c r="L45" s="24">
        <f>+L29-K29</f>
        <v>0</v>
      </c>
      <c r="M45" s="24"/>
      <c r="N45" s="24">
        <f>+N29-M29</f>
        <v>-19438.114908344229</v>
      </c>
      <c r="O45" s="24">
        <f>+O29-N29</f>
        <v>-19438.114908344229</v>
      </c>
      <c r="P45" s="24"/>
    </row>
    <row r="46" spans="2:37" x14ac:dyDescent="0.35">
      <c r="B46" s="6" t="s">
        <v>16</v>
      </c>
      <c r="C46" s="6"/>
      <c r="E46" s="24">
        <f t="shared" si="23"/>
        <v>0</v>
      </c>
      <c r="F46" s="24">
        <f t="shared" si="25"/>
        <v>0</v>
      </c>
      <c r="G46" s="24">
        <f t="shared" si="27"/>
        <v>0</v>
      </c>
      <c r="H46" s="24">
        <f t="shared" si="29"/>
        <v>0</v>
      </c>
      <c r="I46" s="24">
        <f t="shared" si="31"/>
        <v>0</v>
      </c>
      <c r="J46" s="24">
        <f>+J30-I30</f>
        <v>0</v>
      </c>
      <c r="K46" s="24">
        <f>+K30-J30</f>
        <v>0</v>
      </c>
      <c r="L46" s="24">
        <f>+L30-K30</f>
        <v>0</v>
      </c>
      <c r="M46" s="24">
        <f>+M30-L30</f>
        <v>0</v>
      </c>
      <c r="N46" s="24"/>
      <c r="O46" s="24">
        <f>+O30-N30</f>
        <v>-21057.957817372895</v>
      </c>
      <c r="P46" s="24"/>
    </row>
    <row r="47" spans="2:37" x14ac:dyDescent="0.35">
      <c r="B47" s="6" t="s">
        <v>17</v>
      </c>
      <c r="C47" s="6"/>
      <c r="E47" s="24">
        <f t="shared" si="23"/>
        <v>0</v>
      </c>
      <c r="F47" s="24">
        <f t="shared" si="25"/>
        <v>0</v>
      </c>
      <c r="G47" s="24">
        <f t="shared" si="27"/>
        <v>0</v>
      </c>
      <c r="H47" s="24">
        <f t="shared" si="29"/>
        <v>0</v>
      </c>
      <c r="I47" s="24">
        <f t="shared" si="31"/>
        <v>0</v>
      </c>
      <c r="J47" s="24">
        <f>+J31-I31</f>
        <v>0</v>
      </c>
      <c r="K47" s="24">
        <f>+K31-J31</f>
        <v>0</v>
      </c>
      <c r="L47" s="24">
        <f>+L31-K31</f>
        <v>0</v>
      </c>
      <c r="M47" s="24">
        <f>+M31-L31</f>
        <v>0</v>
      </c>
      <c r="N47" s="24">
        <f>+N31-M31</f>
        <v>0</v>
      </c>
      <c r="O47" s="24"/>
      <c r="P47" s="24">
        <f>-P19</f>
        <v>-1475434</v>
      </c>
    </row>
    <row r="48" spans="2:37" x14ac:dyDescent="0.35">
      <c r="P48" s="5"/>
    </row>
    <row r="49" spans="2:16" x14ac:dyDescent="0.35">
      <c r="E49" s="5">
        <f>+E19+E35</f>
        <v>1352481.1666666667</v>
      </c>
      <c r="F49" s="5">
        <f t="shared" ref="F49:P49" si="32">+F19+F35</f>
        <v>1342235.0972222222</v>
      </c>
      <c r="G49" s="5">
        <f t="shared" si="32"/>
        <v>1331135.1886574074</v>
      </c>
      <c r="H49" s="5">
        <f t="shared" si="32"/>
        <v>1319110.2877121912</v>
      </c>
      <c r="I49" s="5">
        <f t="shared" si="32"/>
        <v>1306083.3116882073</v>
      </c>
      <c r="J49" s="5">
        <f t="shared" si="32"/>
        <v>1291970.7543288912</v>
      </c>
      <c r="K49" s="5">
        <f t="shared" si="32"/>
        <v>1276682.1505229655</v>
      </c>
      <c r="L49" s="5">
        <f t="shared" si="32"/>
        <v>1260119.4963998792</v>
      </c>
      <c r="M49" s="5">
        <f t="shared" si="32"/>
        <v>1242176.6210998693</v>
      </c>
      <c r="N49" s="5">
        <f t="shared" si="32"/>
        <v>1222738.5061915251</v>
      </c>
      <c r="O49" s="5">
        <f t="shared" si="32"/>
        <v>1201680.5483741523</v>
      </c>
      <c r="P49" s="5">
        <f t="shared" si="32"/>
        <v>0</v>
      </c>
    </row>
    <row r="53" spans="2:16" x14ac:dyDescent="0.35">
      <c r="B53" s="26" t="s">
        <v>105</v>
      </c>
      <c r="C53" s="26"/>
      <c r="D53" s="27">
        <f>+SUM(D54:D66)</f>
        <v>0</v>
      </c>
      <c r="E53" s="27">
        <f t="shared" ref="E53" si="33">+SUM(E54:E66)</f>
        <v>29508.68</v>
      </c>
      <c r="F53" s="27">
        <f t="shared" ref="F53" si="34">+SUM(F54:F66)</f>
        <v>29508.68</v>
      </c>
      <c r="G53" s="27">
        <f t="shared" ref="G53" si="35">+SUM(G54:G66)</f>
        <v>29508.68</v>
      </c>
      <c r="H53" s="27">
        <f t="shared" ref="H53" si="36">+SUM(H54:H66)</f>
        <v>29508.68</v>
      </c>
      <c r="I53" s="27">
        <f t="shared" ref="I53" si="37">+SUM(I54:I66)</f>
        <v>29508.68</v>
      </c>
      <c r="J53" s="27">
        <f t="shared" ref="J53" si="38">+SUM(J54:J66)</f>
        <v>29508.680000000004</v>
      </c>
      <c r="K53" s="27">
        <f t="shared" ref="K53" si="39">+SUM(K54:K66)</f>
        <v>29508.68</v>
      </c>
      <c r="L53" s="27">
        <f t="shared" ref="L53" si="40">+SUM(L54:L66)</f>
        <v>29508.679999999993</v>
      </c>
      <c r="M53" s="27">
        <f t="shared" ref="M53" si="41">+SUM(M54:M66)</f>
        <v>29508.680000000004</v>
      </c>
      <c r="N53" s="27">
        <f t="shared" ref="N53" si="42">+SUM(N54:N66)</f>
        <v>29508.680000000004</v>
      </c>
      <c r="O53" s="27">
        <f t="shared" ref="O53" si="43">+SUM(O54:O66)</f>
        <v>29508.680000000004</v>
      </c>
      <c r="P53" s="27">
        <f>+O53</f>
        <v>29508.680000000004</v>
      </c>
    </row>
    <row r="54" spans="2:16" x14ac:dyDescent="0.35">
      <c r="B54" s="6" t="s">
        <v>6</v>
      </c>
      <c r="C54" s="6"/>
      <c r="E54" s="24">
        <f>+AVERAGE(D20:D20)*$D$12</f>
        <v>29508.68</v>
      </c>
      <c r="F54" s="24">
        <f t="shared" ref="F54:O54" si="44">+AVERAGE(E20:E20)*$D$12</f>
        <v>27049.623333333337</v>
      </c>
      <c r="G54" s="24">
        <f t="shared" si="44"/>
        <v>24590.566666666669</v>
      </c>
      <c r="H54" s="24">
        <f t="shared" si="44"/>
        <v>22131.510000000006</v>
      </c>
      <c r="I54" s="24">
        <f t="shared" si="44"/>
        <v>19672.453333333338</v>
      </c>
      <c r="J54" s="24">
        <f t="shared" si="44"/>
        <v>17213.396666666671</v>
      </c>
      <c r="K54" s="24">
        <f t="shared" si="44"/>
        <v>14754.340000000002</v>
      </c>
      <c r="L54" s="24">
        <f t="shared" si="44"/>
        <v>12295.283333333335</v>
      </c>
      <c r="M54" s="24">
        <f t="shared" si="44"/>
        <v>9836.2266666666692</v>
      </c>
      <c r="N54" s="24">
        <f t="shared" si="44"/>
        <v>7377.1700000000028</v>
      </c>
      <c r="O54" s="24">
        <f t="shared" si="44"/>
        <v>4918.1133333333364</v>
      </c>
      <c r="P54" s="24"/>
    </row>
    <row r="55" spans="2:16" x14ac:dyDescent="0.35">
      <c r="B55" s="6" t="s">
        <v>7</v>
      </c>
      <c r="C55" s="6"/>
      <c r="E55" s="24"/>
      <c r="F55" s="24">
        <f>+AVERAGE(E21:E21)*$E$12</f>
        <v>2459.056666666665</v>
      </c>
      <c r="G55" s="24">
        <f t="shared" ref="G55:O55" si="45">+AVERAGE(F21:F21)*$E$12</f>
        <v>2254.1352777777765</v>
      </c>
      <c r="H55" s="24">
        <f t="shared" si="45"/>
        <v>2049.2138888888876</v>
      </c>
      <c r="I55" s="24">
        <f t="shared" si="45"/>
        <v>1844.2924999999989</v>
      </c>
      <c r="J55" s="24">
        <f t="shared" si="45"/>
        <v>1639.3711111111102</v>
      </c>
      <c r="K55" s="24">
        <f t="shared" si="45"/>
        <v>1434.4497222222215</v>
      </c>
      <c r="L55" s="24">
        <f t="shared" si="45"/>
        <v>1229.5283333333325</v>
      </c>
      <c r="M55" s="24">
        <f t="shared" si="45"/>
        <v>1024.6069444444438</v>
      </c>
      <c r="N55" s="24">
        <f t="shared" si="45"/>
        <v>819.68555555555508</v>
      </c>
      <c r="O55" s="24">
        <f t="shared" si="45"/>
        <v>614.76416666666626</v>
      </c>
      <c r="P55" s="24"/>
    </row>
    <row r="56" spans="2:16" x14ac:dyDescent="0.35">
      <c r="B56" s="6" t="s">
        <v>8</v>
      </c>
      <c r="C56" s="6"/>
      <c r="E56" s="24"/>
      <c r="F56" s="24"/>
      <c r="G56" s="24">
        <f>+AVERAGE(F22:F22)*$F$12</f>
        <v>2663.9780555555549</v>
      </c>
      <c r="H56" s="24">
        <f t="shared" ref="H56:O56" si="46">+AVERAGE(G22:G22)*$F$12</f>
        <v>2441.9798842592586</v>
      </c>
      <c r="I56" s="24">
        <f t="shared" si="46"/>
        <v>2219.9817129629623</v>
      </c>
      <c r="J56" s="24">
        <f t="shared" si="46"/>
        <v>1997.983541666666</v>
      </c>
      <c r="K56" s="24">
        <f t="shared" si="46"/>
        <v>1775.9853703703698</v>
      </c>
      <c r="L56" s="24">
        <f t="shared" si="46"/>
        <v>1553.9871990740733</v>
      </c>
      <c r="M56" s="24">
        <f t="shared" si="46"/>
        <v>1331.989027777777</v>
      </c>
      <c r="N56" s="24">
        <f t="shared" si="46"/>
        <v>1109.9908564814807</v>
      </c>
      <c r="O56" s="24">
        <f t="shared" si="46"/>
        <v>887.99268518518454</v>
      </c>
      <c r="P56" s="24"/>
    </row>
    <row r="57" spans="2:16" x14ac:dyDescent="0.35">
      <c r="B57" s="6" t="s">
        <v>9</v>
      </c>
      <c r="C57" s="6"/>
      <c r="E57" s="24"/>
      <c r="F57" s="24"/>
      <c r="G57" s="24"/>
      <c r="H57" s="24">
        <f>+AVERAGE(G23:G23)*$G$12</f>
        <v>2885.9762268518516</v>
      </c>
      <c r="I57" s="24">
        <f t="shared" ref="I57:O57" si="47">+AVERAGE(H23:H23)*$G$12</f>
        <v>2645.4782079475308</v>
      </c>
      <c r="J57" s="24">
        <f t="shared" si="47"/>
        <v>2404.98018904321</v>
      </c>
      <c r="K57" s="24">
        <f t="shared" si="47"/>
        <v>2164.4821701388887</v>
      </c>
      <c r="L57" s="24">
        <f t="shared" si="47"/>
        <v>1923.9841512345677</v>
      </c>
      <c r="M57" s="24">
        <f t="shared" si="47"/>
        <v>1683.4861323302466</v>
      </c>
      <c r="N57" s="24">
        <f t="shared" si="47"/>
        <v>1442.9881134259256</v>
      </c>
      <c r="O57" s="24">
        <f t="shared" si="47"/>
        <v>1202.4900945216048</v>
      </c>
      <c r="P57" s="24"/>
    </row>
    <row r="58" spans="2:16" x14ac:dyDescent="0.35">
      <c r="B58" s="6" t="s">
        <v>10</v>
      </c>
      <c r="C58" s="6"/>
      <c r="E58" s="24"/>
      <c r="F58" s="24"/>
      <c r="G58" s="24"/>
      <c r="H58" s="24"/>
      <c r="I58" s="24">
        <f>+AVERAGE(H24:H24)*$H$12</f>
        <v>3126.4742457561706</v>
      </c>
      <c r="J58" s="24">
        <f t="shared" ref="J58:O58" si="48">+AVERAGE(I24:I24)*$H$12</f>
        <v>2865.9347252764896</v>
      </c>
      <c r="K58" s="24">
        <f t="shared" si="48"/>
        <v>2605.3952047968087</v>
      </c>
      <c r="L58" s="24">
        <f t="shared" si="48"/>
        <v>2344.8556843171282</v>
      </c>
      <c r="M58" s="24">
        <f t="shared" si="48"/>
        <v>2084.3161638374472</v>
      </c>
      <c r="N58" s="24">
        <f t="shared" si="48"/>
        <v>1823.7766433577665</v>
      </c>
      <c r="O58" s="24">
        <f t="shared" si="48"/>
        <v>1563.2371228780858</v>
      </c>
      <c r="P58" s="24"/>
    </row>
    <row r="59" spans="2:16" x14ac:dyDescent="0.35">
      <c r="B59" s="6" t="s">
        <v>11</v>
      </c>
      <c r="C59" s="6"/>
      <c r="E59" s="24"/>
      <c r="F59" s="24"/>
      <c r="G59" s="24"/>
      <c r="H59" s="24"/>
      <c r="I59" s="24"/>
      <c r="J59" s="24">
        <f>+AVERAGE(I25:I25)*$I$12</f>
        <v>3387.0137662358584</v>
      </c>
      <c r="K59" s="24">
        <f t="shared" ref="K59:O59" si="49">+AVERAGE(J25:J25)*$I$12</f>
        <v>3104.7626190495371</v>
      </c>
      <c r="L59" s="24">
        <f t="shared" si="49"/>
        <v>2822.5114718632158</v>
      </c>
      <c r="M59" s="24">
        <f t="shared" si="49"/>
        <v>2540.260324676894</v>
      </c>
      <c r="N59" s="24">
        <f t="shared" si="49"/>
        <v>2258.0091774905723</v>
      </c>
      <c r="O59" s="24">
        <f t="shared" si="49"/>
        <v>1975.7580303042507</v>
      </c>
      <c r="P59" s="24"/>
    </row>
    <row r="60" spans="2:16" x14ac:dyDescent="0.35">
      <c r="B60" s="6" t="s">
        <v>12</v>
      </c>
      <c r="C60" s="6"/>
      <c r="E60" s="24"/>
      <c r="F60" s="24"/>
      <c r="G60" s="24"/>
      <c r="H60" s="24"/>
      <c r="I60" s="24"/>
      <c r="J60" s="24"/>
      <c r="K60" s="24">
        <f>+AVERAGE(J26:J26)*$J$12</f>
        <v>3669.264913422172</v>
      </c>
      <c r="L60" s="24">
        <f t="shared" ref="L60:O60" si="50">+AVERAGE(K26:K26)*$J$12</f>
        <v>3363.4928373036573</v>
      </c>
      <c r="M60" s="24">
        <f t="shared" si="50"/>
        <v>3057.7207611851431</v>
      </c>
      <c r="N60" s="24">
        <f t="shared" si="50"/>
        <v>2751.9486850666285</v>
      </c>
      <c r="O60" s="24">
        <f t="shared" si="50"/>
        <v>2446.1766089481143</v>
      </c>
      <c r="P60" s="24"/>
    </row>
    <row r="61" spans="2:16" x14ac:dyDescent="0.35">
      <c r="B61" s="6" t="s">
        <v>13</v>
      </c>
      <c r="C61" s="6"/>
      <c r="E61" s="24"/>
      <c r="F61" s="24"/>
      <c r="G61" s="24"/>
      <c r="H61" s="24"/>
      <c r="I61" s="24"/>
      <c r="J61" s="24"/>
      <c r="K61" s="24"/>
      <c r="L61" s="24">
        <f>+AVERAGE(K27:K27)*$K$12</f>
        <v>3975.0369895406861</v>
      </c>
      <c r="M61" s="24">
        <f t="shared" ref="M61:O61" si="51">+AVERAGE(L27:L27)*$K$12</f>
        <v>3643.7839070789623</v>
      </c>
      <c r="N61" s="24">
        <f t="shared" si="51"/>
        <v>3312.5308246172385</v>
      </c>
      <c r="O61" s="24">
        <f t="shared" si="51"/>
        <v>2981.2777421555143</v>
      </c>
      <c r="P61" s="24"/>
    </row>
    <row r="62" spans="2:16" x14ac:dyDescent="0.35">
      <c r="B62" s="6" t="s">
        <v>14</v>
      </c>
      <c r="C62" s="6"/>
      <c r="E62" s="24"/>
      <c r="F62" s="24"/>
      <c r="G62" s="24"/>
      <c r="H62" s="24"/>
      <c r="I62" s="24"/>
      <c r="J62" s="24"/>
      <c r="K62" s="24"/>
      <c r="L62" s="24"/>
      <c r="M62" s="24">
        <f>+AVERAGE(L28:L28)*$L$12</f>
        <v>4306.2900720024199</v>
      </c>
      <c r="N62" s="24">
        <f t="shared" ref="N62:O62" si="52">+AVERAGE(M28:M28)*$L$12</f>
        <v>3947.4325660022187</v>
      </c>
      <c r="O62" s="24">
        <f t="shared" si="52"/>
        <v>3588.5750600020169</v>
      </c>
      <c r="P62" s="24"/>
    </row>
    <row r="63" spans="2:16" x14ac:dyDescent="0.35">
      <c r="B63" s="6" t="s">
        <v>15</v>
      </c>
      <c r="C63" s="6"/>
      <c r="E63" s="24"/>
      <c r="F63" s="24"/>
      <c r="G63" s="24"/>
      <c r="H63" s="24"/>
      <c r="I63" s="24"/>
      <c r="J63" s="24"/>
      <c r="K63" s="24"/>
      <c r="L63" s="24"/>
      <c r="M63" s="24"/>
      <c r="N63" s="24">
        <f>+AVERAGE(M29:M29)*$M$12</f>
        <v>4665.1475780026149</v>
      </c>
      <c r="O63" s="24">
        <f t="shared" ref="O63" si="53">+AVERAGE(N29:N29)*$M$12</f>
        <v>4276.3852798357302</v>
      </c>
      <c r="P63" s="24"/>
    </row>
    <row r="64" spans="2:16" x14ac:dyDescent="0.35">
      <c r="B64" s="6" t="s">
        <v>16</v>
      </c>
      <c r="C64" s="6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>
        <f>+AVERAGE(N30:N30)*$N$12</f>
        <v>5053.9098761694977</v>
      </c>
      <c r="P64" s="24"/>
    </row>
    <row r="65" spans="2:35" x14ac:dyDescent="0.35">
      <c r="B65" s="6" t="s">
        <v>17</v>
      </c>
      <c r="C65" s="6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</row>
    <row r="67" spans="2:35" s="1" customFormat="1" x14ac:dyDescent="0.35">
      <c r="E67" s="29">
        <f>+SUM(E54:E65)</f>
        <v>29508.68</v>
      </c>
      <c r="F67" s="29">
        <f t="shared" ref="F67:O67" si="54">+SUM(F54:F65)</f>
        <v>29508.68</v>
      </c>
      <c r="G67" s="29">
        <f t="shared" si="54"/>
        <v>29508.68</v>
      </c>
      <c r="H67" s="29">
        <f t="shared" si="54"/>
        <v>29508.68</v>
      </c>
      <c r="I67" s="29">
        <f t="shared" si="54"/>
        <v>29508.68</v>
      </c>
      <c r="J67" s="29">
        <f t="shared" si="54"/>
        <v>29508.680000000004</v>
      </c>
      <c r="K67" s="29">
        <f t="shared" si="54"/>
        <v>29508.68</v>
      </c>
      <c r="L67" s="29">
        <f t="shared" si="54"/>
        <v>29508.679999999993</v>
      </c>
      <c r="M67" s="29">
        <f t="shared" si="54"/>
        <v>29508.680000000004</v>
      </c>
      <c r="N67" s="29">
        <f t="shared" si="54"/>
        <v>29508.680000000004</v>
      </c>
      <c r="O67" s="29">
        <f t="shared" si="54"/>
        <v>29508.680000000004</v>
      </c>
      <c r="P67" s="29">
        <f>+O67</f>
        <v>29508.680000000004</v>
      </c>
      <c r="AI67" s="15"/>
    </row>
  </sheetData>
  <mergeCells count="1">
    <mergeCell ref="D16:O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2:V60"/>
  <sheetViews>
    <sheetView showGridLines="0" workbookViewId="0">
      <selection activeCell="H14" sqref="H14"/>
    </sheetView>
  </sheetViews>
  <sheetFormatPr baseColWidth="10" defaultRowHeight="14.5" x14ac:dyDescent="0.35"/>
  <cols>
    <col min="1" max="1" width="11.54296875" bestFit="1" customWidth="1"/>
    <col min="2" max="2" width="12.1796875" bestFit="1" customWidth="1"/>
    <col min="3" max="3" width="13.81640625" bestFit="1" customWidth="1"/>
    <col min="4" max="4" width="9.81640625" bestFit="1" customWidth="1"/>
    <col min="5" max="5" width="11.1796875" bestFit="1" customWidth="1"/>
    <col min="6" max="6" width="12.1796875" bestFit="1" customWidth="1"/>
    <col min="7" max="7" width="8.54296875" bestFit="1" customWidth="1"/>
    <col min="8" max="8" width="1.1796875" style="14" customWidth="1"/>
    <col min="9" max="9" width="12.1796875" bestFit="1" customWidth="1"/>
    <col min="10" max="10" width="12.54296875" bestFit="1" customWidth="1"/>
    <col min="11" max="11" width="11.54296875" bestFit="1" customWidth="1"/>
    <col min="12" max="12" width="11.1796875" bestFit="1" customWidth="1"/>
    <col min="13" max="13" width="5.1796875" bestFit="1" customWidth="1"/>
    <col min="14" max="15" width="12.1796875" bestFit="1" customWidth="1"/>
    <col min="16" max="18" width="6.1796875" bestFit="1" customWidth="1"/>
  </cols>
  <sheetData>
    <row r="2" spans="1:22" x14ac:dyDescent="0.35">
      <c r="A2" s="12" t="s">
        <v>0</v>
      </c>
      <c r="J2" s="5"/>
      <c r="K2" s="5"/>
    </row>
    <row r="3" spans="1:22" x14ac:dyDescent="0.35">
      <c r="B3" s="3"/>
      <c r="D3" s="3"/>
      <c r="E3" s="3"/>
      <c r="J3" s="5"/>
    </row>
    <row r="4" spans="1:22" x14ac:dyDescent="0.35">
      <c r="A4" t="s">
        <v>108</v>
      </c>
      <c r="B4" s="3">
        <v>-70000000</v>
      </c>
      <c r="I4" s="3"/>
      <c r="J4" s="5"/>
      <c r="O4" s="3"/>
      <c r="P4" s="4"/>
      <c r="R4" s="2"/>
      <c r="U4" s="3"/>
    </row>
    <row r="5" spans="1:22" x14ac:dyDescent="0.35">
      <c r="A5" t="s">
        <v>91</v>
      </c>
      <c r="B5" s="5">
        <v>48</v>
      </c>
      <c r="C5" s="19"/>
      <c r="I5" s="2">
        <f>+IRR(I12:I24)</f>
        <v>-0.28645681760492492</v>
      </c>
      <c r="J5" s="5"/>
      <c r="O5" s="5"/>
    </row>
    <row r="6" spans="1:22" x14ac:dyDescent="0.35">
      <c r="A6" t="s">
        <v>93</v>
      </c>
      <c r="B6" s="2">
        <v>0.06</v>
      </c>
      <c r="G6" s="1" t="s">
        <v>97</v>
      </c>
      <c r="H6" s="15"/>
      <c r="I6" s="11">
        <f>+IRR(I12:I60)</f>
        <v>5.4407040726538458E-3</v>
      </c>
      <c r="J6" s="2"/>
      <c r="K6" s="2"/>
      <c r="O6" s="5"/>
    </row>
    <row r="7" spans="1:22" x14ac:dyDescent="0.35">
      <c r="A7" t="s">
        <v>92</v>
      </c>
      <c r="B7" s="4">
        <f>+(1+B6)^(0.0833333333333333)-1</f>
        <v>4.8675505653430484E-3</v>
      </c>
      <c r="C7" s="2">
        <f>+B7*12</f>
        <v>5.8410606784116581E-2</v>
      </c>
      <c r="G7" s="12" t="s">
        <v>98</v>
      </c>
      <c r="H7" s="16"/>
      <c r="I7" s="13">
        <f>+(1+I6)^(12)-1</f>
        <v>6.7278000995057319E-2</v>
      </c>
      <c r="J7" s="2"/>
      <c r="K7" s="2"/>
      <c r="O7" s="5"/>
    </row>
    <row r="8" spans="1:22" x14ac:dyDescent="0.35">
      <c r="A8" t="s">
        <v>1</v>
      </c>
      <c r="B8">
        <v>0</v>
      </c>
      <c r="O8" s="5"/>
    </row>
    <row r="9" spans="1:22" x14ac:dyDescent="0.35">
      <c r="B9" s="4"/>
      <c r="O9" s="5"/>
    </row>
    <row r="10" spans="1:22" x14ac:dyDescent="0.35">
      <c r="C10" s="9" t="s">
        <v>2</v>
      </c>
      <c r="D10" s="9" t="s">
        <v>3</v>
      </c>
      <c r="E10" s="9" t="s">
        <v>4</v>
      </c>
      <c r="F10" s="9" t="s">
        <v>5</v>
      </c>
      <c r="G10" s="9" t="s">
        <v>95</v>
      </c>
      <c r="H10" s="17"/>
      <c r="I10" s="9" t="s">
        <v>96</v>
      </c>
    </row>
    <row r="11" spans="1:22" x14ac:dyDescent="0.35">
      <c r="B11" s="6"/>
      <c r="F11" s="5"/>
      <c r="O11" s="6"/>
      <c r="S11" s="5"/>
    </row>
    <row r="12" spans="1:22" x14ac:dyDescent="0.35">
      <c r="B12" s="8">
        <v>0</v>
      </c>
      <c r="C12" s="7"/>
      <c r="D12" s="3"/>
      <c r="E12" s="5"/>
      <c r="F12" s="5">
        <f>+$B$4</f>
        <v>-70000000</v>
      </c>
      <c r="G12" s="3"/>
      <c r="H12" s="18"/>
      <c r="I12" s="3">
        <f>+F12</f>
        <v>-70000000</v>
      </c>
      <c r="L12" s="5"/>
      <c r="N12" s="5"/>
      <c r="O12" s="6"/>
      <c r="P12" s="7"/>
      <c r="Q12" s="3"/>
      <c r="R12" s="5"/>
      <c r="S12" s="5"/>
      <c r="T12" s="3"/>
      <c r="U12" s="3"/>
      <c r="V12" s="5"/>
    </row>
    <row r="13" spans="1:22" x14ac:dyDescent="0.35">
      <c r="B13" s="6" t="s">
        <v>6</v>
      </c>
      <c r="C13" s="7"/>
      <c r="D13" s="3">
        <f>(F12+SUM(D$12:D12))*$B$7</f>
        <v>-340728.53957401338</v>
      </c>
      <c r="E13" s="5"/>
      <c r="F13" s="5">
        <f>+F12</f>
        <v>-70000000</v>
      </c>
      <c r="G13" s="3">
        <f t="shared" ref="G13:G60" si="0">+-F12/1000000*$B$8</f>
        <v>0</v>
      </c>
      <c r="H13" s="18"/>
      <c r="I13" s="10">
        <f>+-D13</f>
        <v>340728.53957401338</v>
      </c>
      <c r="L13" s="3"/>
      <c r="N13" s="3"/>
      <c r="O13" s="6"/>
      <c r="P13" s="7"/>
      <c r="Q13" s="3"/>
      <c r="R13" s="5"/>
      <c r="S13" s="5"/>
      <c r="T13" s="3"/>
      <c r="U13" s="3"/>
      <c r="V13" s="5"/>
    </row>
    <row r="14" spans="1:22" x14ac:dyDescent="0.35">
      <c r="B14" s="6" t="s">
        <v>7</v>
      </c>
      <c r="C14" s="7"/>
      <c r="D14" s="3">
        <f>(F13+SUM(D$12:D13))*$B$7</f>
        <v>-342387.05296944536</v>
      </c>
      <c r="E14" s="5"/>
      <c r="F14" s="5">
        <f t="shared" ref="F14:F60" si="1">+F13</f>
        <v>-70000000</v>
      </c>
      <c r="G14" s="3">
        <f t="shared" si="0"/>
        <v>0</v>
      </c>
      <c r="H14" s="18"/>
      <c r="I14" s="10">
        <f t="shared" ref="I14:I59" si="2">+-D14</f>
        <v>342387.05296944536</v>
      </c>
      <c r="N14" s="3"/>
      <c r="O14" s="6"/>
      <c r="P14" s="7"/>
      <c r="Q14" s="3"/>
      <c r="R14" s="5"/>
      <c r="S14" s="5"/>
      <c r="T14" s="3"/>
      <c r="U14" s="3"/>
      <c r="V14" s="5"/>
    </row>
    <row r="15" spans="1:22" x14ac:dyDescent="0.35">
      <c r="B15" s="6" t="s">
        <v>8</v>
      </c>
      <c r="C15" s="7"/>
      <c r="D15" s="3">
        <f>(F14+SUM(D$12:D14))*$B$7</f>
        <v>-344053.63926269294</v>
      </c>
      <c r="E15" s="5"/>
      <c r="F15" s="5">
        <f t="shared" si="1"/>
        <v>-70000000</v>
      </c>
      <c r="G15" s="3">
        <f t="shared" si="0"/>
        <v>0</v>
      </c>
      <c r="H15" s="18"/>
      <c r="I15" s="10">
        <f t="shared" si="2"/>
        <v>344053.63926269294</v>
      </c>
      <c r="N15" s="3"/>
      <c r="O15" s="6"/>
      <c r="P15" s="7"/>
      <c r="Q15" s="3"/>
      <c r="R15" s="5"/>
      <c r="S15" s="5"/>
      <c r="T15" s="3"/>
      <c r="U15" s="3"/>
      <c r="V15" s="5"/>
    </row>
    <row r="16" spans="1:22" x14ac:dyDescent="0.35">
      <c r="B16" s="6" t="s">
        <v>9</v>
      </c>
      <c r="C16" s="7"/>
      <c r="D16" s="3">
        <f>(F15+SUM(D$12:D15))*$B$7</f>
        <v>-345728.33774899447</v>
      </c>
      <c r="E16" s="5"/>
      <c r="F16" s="5">
        <f t="shared" si="1"/>
        <v>-70000000</v>
      </c>
      <c r="G16" s="3">
        <f t="shared" si="0"/>
        <v>0</v>
      </c>
      <c r="H16" s="18"/>
      <c r="I16" s="10">
        <f t="shared" si="2"/>
        <v>345728.33774899447</v>
      </c>
      <c r="O16" s="6"/>
      <c r="P16" s="7"/>
      <c r="Q16" s="3"/>
      <c r="R16" s="5"/>
      <c r="S16" s="5"/>
      <c r="T16" s="3"/>
      <c r="U16" s="3"/>
      <c r="V16" s="5"/>
    </row>
    <row r="17" spans="2:22" x14ac:dyDescent="0.35">
      <c r="B17" s="6" t="s">
        <v>10</v>
      </c>
      <c r="C17" s="7"/>
      <c r="D17" s="3">
        <f>(F16+SUM(D$12:D16))*$B$7</f>
        <v>-347411.18791485968</v>
      </c>
      <c r="E17" s="5"/>
      <c r="F17" s="5">
        <f t="shared" si="1"/>
        <v>-70000000</v>
      </c>
      <c r="G17" s="3">
        <f t="shared" si="0"/>
        <v>0</v>
      </c>
      <c r="H17" s="18"/>
      <c r="I17" s="10">
        <f t="shared" si="2"/>
        <v>347411.18791485968</v>
      </c>
      <c r="O17" s="6"/>
      <c r="P17" s="7"/>
      <c r="Q17" s="3"/>
      <c r="R17" s="5"/>
      <c r="S17" s="5"/>
      <c r="T17" s="3"/>
      <c r="U17" s="3"/>
      <c r="V17" s="5"/>
    </row>
    <row r="18" spans="2:22" x14ac:dyDescent="0.35">
      <c r="B18" s="6" t="s">
        <v>11</v>
      </c>
      <c r="C18" s="7"/>
      <c r="D18" s="3">
        <f>(F17+SUM(D$12:D17))*$B$7</f>
        <v>-349102.22943900112</v>
      </c>
      <c r="E18" s="5"/>
      <c r="F18" s="5">
        <f t="shared" si="1"/>
        <v>-70000000</v>
      </c>
      <c r="G18" s="3">
        <f t="shared" si="0"/>
        <v>0</v>
      </c>
      <c r="H18" s="18"/>
      <c r="I18" s="10">
        <f t="shared" si="2"/>
        <v>349102.22943900112</v>
      </c>
      <c r="J18" s="5"/>
      <c r="O18" s="6"/>
      <c r="P18" s="7"/>
      <c r="Q18" s="3"/>
      <c r="R18" s="5"/>
      <c r="S18" s="5"/>
      <c r="T18" s="3"/>
      <c r="U18" s="3"/>
      <c r="V18" s="5"/>
    </row>
    <row r="19" spans="2:22" x14ac:dyDescent="0.35">
      <c r="B19" s="6" t="s">
        <v>12</v>
      </c>
      <c r="C19" s="7"/>
      <c r="D19" s="3">
        <f>(F18+SUM(D$12:D18))*$B$7</f>
        <v>-350801.50219326944</v>
      </c>
      <c r="E19" s="5"/>
      <c r="F19" s="5">
        <f t="shared" si="1"/>
        <v>-70000000</v>
      </c>
      <c r="G19" s="3">
        <f t="shared" si="0"/>
        <v>0</v>
      </c>
      <c r="H19" s="18"/>
      <c r="I19" s="10">
        <f t="shared" si="2"/>
        <v>350801.50219326944</v>
      </c>
      <c r="J19" s="5"/>
      <c r="O19" s="6"/>
      <c r="P19" s="7"/>
      <c r="Q19" s="3"/>
      <c r="R19" s="5"/>
      <c r="S19" s="5"/>
      <c r="T19" s="3"/>
      <c r="U19" s="3"/>
      <c r="V19" s="5"/>
    </row>
    <row r="20" spans="2:22" x14ac:dyDescent="0.35">
      <c r="B20" s="6" t="s">
        <v>13</v>
      </c>
      <c r="C20" s="7"/>
      <c r="D20" s="3">
        <f>(F19+SUM(D$12:D19))*$B$7</f>
        <v>-352509.04624359345</v>
      </c>
      <c r="E20" s="5"/>
      <c r="F20" s="5">
        <f t="shared" si="1"/>
        <v>-70000000</v>
      </c>
      <c r="G20" s="3">
        <f t="shared" si="0"/>
        <v>0</v>
      </c>
      <c r="H20" s="18"/>
      <c r="I20" s="10">
        <f t="shared" si="2"/>
        <v>352509.04624359345</v>
      </c>
      <c r="J20" s="5"/>
      <c r="O20" s="6"/>
      <c r="P20" s="7"/>
      <c r="Q20" s="3"/>
      <c r="R20" s="5"/>
      <c r="S20" s="5"/>
      <c r="T20" s="3"/>
      <c r="U20" s="3"/>
      <c r="V20" s="5"/>
    </row>
    <row r="21" spans="2:22" x14ac:dyDescent="0.35">
      <c r="B21" s="6" t="s">
        <v>14</v>
      </c>
      <c r="C21" s="7"/>
      <c r="D21" s="3">
        <f>(F20+SUM(D$12:D20))*$B$7</f>
        <v>-354224.901850925</v>
      </c>
      <c r="E21" s="5"/>
      <c r="F21" s="5">
        <f t="shared" si="1"/>
        <v>-70000000</v>
      </c>
      <c r="G21" s="3">
        <f t="shared" si="0"/>
        <v>0</v>
      </c>
      <c r="H21" s="18"/>
      <c r="I21" s="10">
        <f t="shared" si="2"/>
        <v>354224.901850925</v>
      </c>
      <c r="J21" s="5"/>
      <c r="O21" s="6"/>
      <c r="P21" s="7"/>
      <c r="Q21" s="3"/>
      <c r="R21" s="5"/>
      <c r="S21" s="5"/>
      <c r="T21" s="3"/>
      <c r="U21" s="3"/>
      <c r="V21" s="5"/>
    </row>
    <row r="22" spans="2:22" x14ac:dyDescent="0.35">
      <c r="B22" s="6" t="s">
        <v>15</v>
      </c>
      <c r="C22" s="7"/>
      <c r="D22" s="3">
        <f>(F21+SUM(D$12:D21))*$B$7</f>
        <v>-355949.10947218805</v>
      </c>
      <c r="E22" s="5"/>
      <c r="F22" s="5">
        <f t="shared" si="1"/>
        <v>-70000000</v>
      </c>
      <c r="G22" s="3">
        <f t="shared" si="0"/>
        <v>0</v>
      </c>
      <c r="H22" s="18"/>
      <c r="I22" s="10">
        <f t="shared" si="2"/>
        <v>355949.10947218805</v>
      </c>
      <c r="J22" s="5"/>
      <c r="O22" s="6"/>
      <c r="P22" s="7"/>
      <c r="Q22" s="3"/>
      <c r="R22" s="5"/>
      <c r="S22" s="5"/>
      <c r="T22" s="3"/>
      <c r="U22" s="3"/>
      <c r="V22" s="5"/>
    </row>
    <row r="23" spans="2:22" x14ac:dyDescent="0.35">
      <c r="B23" s="6" t="s">
        <v>16</v>
      </c>
      <c r="C23" s="7"/>
      <c r="D23" s="3">
        <f>(F22+SUM(D$12:D22))*$B$7</f>
        <v>-357681.70976123278</v>
      </c>
      <c r="E23" s="5"/>
      <c r="F23" s="5">
        <f t="shared" si="1"/>
        <v>-70000000</v>
      </c>
      <c r="G23" s="3">
        <f t="shared" si="0"/>
        <v>0</v>
      </c>
      <c r="H23" s="18"/>
      <c r="I23" s="10">
        <f t="shared" si="2"/>
        <v>357681.70976123278</v>
      </c>
      <c r="J23" s="5"/>
      <c r="O23" s="6" t="s">
        <v>99</v>
      </c>
      <c r="P23" s="7"/>
      <c r="Q23" s="3"/>
      <c r="R23" s="5"/>
      <c r="S23" s="5"/>
      <c r="T23" s="3"/>
      <c r="U23" s="3"/>
      <c r="V23" s="5"/>
    </row>
    <row r="24" spans="2:22" x14ac:dyDescent="0.35">
      <c r="B24" s="6" t="s">
        <v>17</v>
      </c>
      <c r="C24" s="7"/>
      <c r="D24" s="3">
        <f>(F23+SUM(D$12:D23))*$B$7</f>
        <v>-359422.74356979388</v>
      </c>
      <c r="E24" s="5"/>
      <c r="F24" s="5">
        <f t="shared" si="1"/>
        <v>-70000000</v>
      </c>
      <c r="G24" s="3">
        <f t="shared" si="0"/>
        <v>0</v>
      </c>
      <c r="H24" s="18"/>
      <c r="I24" s="10">
        <f t="shared" si="2"/>
        <v>359422.74356979388</v>
      </c>
      <c r="J24" s="5">
        <f>+AVERAGE(F12:F23)</f>
        <v>-70000000</v>
      </c>
      <c r="K24" s="5">
        <f>+SUM(I13:I24)</f>
        <v>4200000.0000000093</v>
      </c>
      <c r="L24" s="5">
        <f>+SUM(D13:D24)</f>
        <v>-4200000.0000000093</v>
      </c>
      <c r="M24" s="5">
        <f>+-SUM(G13:G24)</f>
        <v>0</v>
      </c>
      <c r="N24" s="5">
        <f>+SUM(E13:E24)</f>
        <v>0</v>
      </c>
      <c r="O24" s="5">
        <f>+M24+L24</f>
        <v>-4200000.0000000093</v>
      </c>
      <c r="P24" s="2">
        <f>+O24/J24</f>
        <v>6.000000000000013E-2</v>
      </c>
      <c r="Q24" s="2">
        <f>+P24/12</f>
        <v>5.0000000000000105E-3</v>
      </c>
      <c r="R24" s="13">
        <f>+(1+Q24)^(12)-1</f>
        <v>6.1677811864500942E-2</v>
      </c>
      <c r="S24" s="5"/>
      <c r="T24" s="3"/>
      <c r="U24" s="3"/>
      <c r="V24" s="5"/>
    </row>
    <row r="25" spans="2:22" x14ac:dyDescent="0.35">
      <c r="B25" s="6" t="s">
        <v>18</v>
      </c>
      <c r="C25" s="7"/>
      <c r="D25" s="3">
        <f>(F24+SUM(D$12:D24))*$B$7</f>
        <v>-361172.25194845424</v>
      </c>
      <c r="E25" s="5"/>
      <c r="F25" s="5">
        <f t="shared" si="1"/>
        <v>-70000000</v>
      </c>
      <c r="G25" s="3">
        <f t="shared" si="0"/>
        <v>0</v>
      </c>
      <c r="H25" s="18"/>
      <c r="I25" s="10">
        <f t="shared" si="2"/>
        <v>361172.25194845424</v>
      </c>
      <c r="J25" s="5"/>
      <c r="O25" s="6"/>
      <c r="P25" s="7"/>
      <c r="Q25" s="3"/>
      <c r="R25" s="5"/>
      <c r="S25" s="5"/>
      <c r="T25" s="3"/>
      <c r="U25" s="3"/>
      <c r="V25" s="5"/>
    </row>
    <row r="26" spans="2:22" x14ac:dyDescent="0.35">
      <c r="B26" s="6" t="s">
        <v>19</v>
      </c>
      <c r="C26" s="7"/>
      <c r="D26" s="3">
        <f>(F25+SUM(D$12:D25))*$B$7</f>
        <v>-362930.27614761214</v>
      </c>
      <c r="E26" s="5"/>
      <c r="F26" s="5">
        <f t="shared" si="1"/>
        <v>-70000000</v>
      </c>
      <c r="G26" s="3">
        <f t="shared" si="0"/>
        <v>0</v>
      </c>
      <c r="H26" s="18"/>
      <c r="I26" s="10">
        <f t="shared" si="2"/>
        <v>362930.27614761214</v>
      </c>
      <c r="J26" s="5"/>
      <c r="O26" s="6"/>
      <c r="P26" s="7"/>
      <c r="Q26" s="3"/>
      <c r="R26" s="5"/>
      <c r="S26" s="5"/>
      <c r="T26" s="3"/>
      <c r="U26" s="3"/>
      <c r="V26" s="5"/>
    </row>
    <row r="27" spans="2:22" x14ac:dyDescent="0.35">
      <c r="B27" s="6" t="s">
        <v>20</v>
      </c>
      <c r="C27" s="7"/>
      <c r="D27" s="3">
        <f>(F26+SUM(D$12:D26))*$B$7</f>
        <v>-364696.85761845461</v>
      </c>
      <c r="E27" s="5"/>
      <c r="F27" s="5">
        <f t="shared" si="1"/>
        <v>-70000000</v>
      </c>
      <c r="G27" s="3">
        <f t="shared" si="0"/>
        <v>0</v>
      </c>
      <c r="H27" s="18"/>
      <c r="I27" s="10">
        <f t="shared" si="2"/>
        <v>364696.85761845461</v>
      </c>
      <c r="J27" s="5"/>
      <c r="O27" s="6"/>
      <c r="P27" s="7"/>
      <c r="Q27" s="3"/>
      <c r="R27" s="5"/>
      <c r="S27" s="5"/>
      <c r="T27" s="3"/>
      <c r="U27" s="3"/>
      <c r="V27" s="5"/>
    </row>
    <row r="28" spans="2:22" x14ac:dyDescent="0.35">
      <c r="B28" s="6" t="s">
        <v>21</v>
      </c>
      <c r="C28" s="7"/>
      <c r="D28" s="3">
        <f>(F27+SUM(D$12:D27))*$B$7</f>
        <v>-366472.0380139341</v>
      </c>
      <c r="E28" s="5"/>
      <c r="F28" s="5">
        <f t="shared" si="1"/>
        <v>-70000000</v>
      </c>
      <c r="G28" s="3">
        <f t="shared" si="0"/>
        <v>0</v>
      </c>
      <c r="H28" s="18"/>
      <c r="I28" s="10">
        <f t="shared" si="2"/>
        <v>366472.0380139341</v>
      </c>
      <c r="J28" s="5"/>
      <c r="O28" s="6"/>
      <c r="P28" s="7"/>
      <c r="Q28" s="3"/>
      <c r="R28" s="5"/>
      <c r="S28" s="5"/>
      <c r="T28" s="3"/>
      <c r="U28" s="3"/>
      <c r="V28" s="5"/>
    </row>
    <row r="29" spans="2:22" x14ac:dyDescent="0.35">
      <c r="B29" s="6" t="s">
        <v>22</v>
      </c>
      <c r="C29" s="7"/>
      <c r="D29" s="3">
        <f>(F28+SUM(D$12:D28))*$B$7</f>
        <v>-368255.85918975127</v>
      </c>
      <c r="E29" s="5"/>
      <c r="F29" s="5">
        <f t="shared" si="1"/>
        <v>-70000000</v>
      </c>
      <c r="G29" s="3">
        <f t="shared" si="0"/>
        <v>0</v>
      </c>
      <c r="H29" s="18"/>
      <c r="I29" s="10">
        <f t="shared" si="2"/>
        <v>368255.85918975127</v>
      </c>
      <c r="J29" s="5"/>
      <c r="O29" s="6"/>
      <c r="P29" s="7"/>
      <c r="Q29" s="3"/>
      <c r="R29" s="5"/>
      <c r="S29" s="5"/>
      <c r="T29" s="3"/>
      <c r="U29" s="3"/>
      <c r="V29" s="5"/>
    </row>
    <row r="30" spans="2:22" x14ac:dyDescent="0.35">
      <c r="B30" s="6" t="s">
        <v>23</v>
      </c>
      <c r="C30" s="7"/>
      <c r="D30" s="3">
        <f>(F29+SUM(D$12:D29))*$B$7</f>
        <v>-370048.36320534121</v>
      </c>
      <c r="E30" s="5"/>
      <c r="F30" s="5">
        <f t="shared" si="1"/>
        <v>-70000000</v>
      </c>
      <c r="G30" s="3">
        <f t="shared" si="0"/>
        <v>0</v>
      </c>
      <c r="H30" s="18"/>
      <c r="I30" s="10">
        <f t="shared" si="2"/>
        <v>370048.36320534121</v>
      </c>
      <c r="J30" s="5"/>
      <c r="O30" s="6"/>
      <c r="P30" s="7"/>
      <c r="Q30" s="3"/>
      <c r="R30" s="5"/>
      <c r="S30" s="5"/>
      <c r="T30" s="3"/>
      <c r="U30" s="3"/>
      <c r="V30" s="5"/>
    </row>
    <row r="31" spans="2:22" x14ac:dyDescent="0.35">
      <c r="B31" s="6" t="s">
        <v>24</v>
      </c>
      <c r="C31" s="7"/>
      <c r="D31" s="3">
        <f>(F30+SUM(D$12:D30))*$B$7</f>
        <v>-371849.59232486563</v>
      </c>
      <c r="E31" s="5"/>
      <c r="F31" s="5">
        <f t="shared" si="1"/>
        <v>-70000000</v>
      </c>
      <c r="G31" s="3">
        <f t="shared" si="0"/>
        <v>0</v>
      </c>
      <c r="H31" s="18"/>
      <c r="I31" s="10">
        <f t="shared" si="2"/>
        <v>371849.59232486563</v>
      </c>
      <c r="J31" s="5"/>
      <c r="O31" s="6"/>
      <c r="P31" s="7"/>
      <c r="Q31" s="3"/>
      <c r="R31" s="5"/>
      <c r="S31" s="5"/>
      <c r="T31" s="3"/>
      <c r="U31" s="3"/>
      <c r="V31" s="5"/>
    </row>
    <row r="32" spans="2:22" x14ac:dyDescent="0.35">
      <c r="B32" s="6" t="s">
        <v>25</v>
      </c>
      <c r="C32" s="7"/>
      <c r="D32" s="3">
        <f>(F31+SUM(D$12:D31))*$B$7</f>
        <v>-373659.58901820914</v>
      </c>
      <c r="E32" s="5"/>
      <c r="F32" s="5">
        <f t="shared" si="1"/>
        <v>-70000000</v>
      </c>
      <c r="G32" s="3">
        <f t="shared" si="0"/>
        <v>0</v>
      </c>
      <c r="H32" s="18"/>
      <c r="I32" s="10">
        <f t="shared" si="2"/>
        <v>373659.58901820914</v>
      </c>
      <c r="J32" s="5"/>
      <c r="O32" s="6"/>
      <c r="P32" s="7"/>
      <c r="Q32" s="3"/>
      <c r="R32" s="5"/>
      <c r="S32" s="5"/>
      <c r="T32" s="3"/>
      <c r="U32" s="3"/>
      <c r="V32" s="5"/>
    </row>
    <row r="33" spans="2:22" x14ac:dyDescent="0.35">
      <c r="B33" s="6" t="s">
        <v>26</v>
      </c>
      <c r="C33" s="7"/>
      <c r="D33" s="3">
        <f>(F32+SUM(D$12:D32))*$B$7</f>
        <v>-375478.39596198057</v>
      </c>
      <c r="E33" s="5"/>
      <c r="F33" s="5">
        <f t="shared" si="1"/>
        <v>-70000000</v>
      </c>
      <c r="G33" s="3">
        <f t="shared" si="0"/>
        <v>0</v>
      </c>
      <c r="H33" s="18"/>
      <c r="I33" s="10">
        <f t="shared" si="2"/>
        <v>375478.39596198057</v>
      </c>
      <c r="J33" s="5"/>
      <c r="O33" s="6"/>
      <c r="P33" s="7"/>
      <c r="Q33" s="3"/>
      <c r="R33" s="5"/>
      <c r="S33" s="5"/>
      <c r="T33" s="3"/>
      <c r="U33" s="3"/>
      <c r="V33" s="5"/>
    </row>
    <row r="34" spans="2:22" x14ac:dyDescent="0.35">
      <c r="B34" s="6" t="s">
        <v>27</v>
      </c>
      <c r="C34" s="7"/>
      <c r="D34" s="3">
        <f>(F33+SUM(D$12:D33))*$B$7</f>
        <v>-377306.05604051938</v>
      </c>
      <c r="E34" s="5"/>
      <c r="F34" s="5">
        <f t="shared" si="1"/>
        <v>-70000000</v>
      </c>
      <c r="G34" s="3">
        <f t="shared" si="0"/>
        <v>0</v>
      </c>
      <c r="H34" s="18"/>
      <c r="I34" s="10">
        <f t="shared" si="2"/>
        <v>377306.05604051938</v>
      </c>
      <c r="J34" s="5"/>
      <c r="O34" s="6"/>
      <c r="P34" s="7"/>
      <c r="Q34" s="3"/>
      <c r="R34" s="5"/>
      <c r="S34" s="5"/>
      <c r="T34" s="3"/>
      <c r="U34" s="3"/>
      <c r="V34" s="5"/>
    </row>
    <row r="35" spans="2:22" x14ac:dyDescent="0.35">
      <c r="B35" s="6" t="s">
        <v>28</v>
      </c>
      <c r="C35" s="7"/>
      <c r="D35" s="3">
        <f>(F34+SUM(D$12:D34))*$B$7</f>
        <v>-379142.6123469068</v>
      </c>
      <c r="E35" s="5"/>
      <c r="F35" s="5">
        <f t="shared" si="1"/>
        <v>-70000000</v>
      </c>
      <c r="G35" s="3">
        <f t="shared" si="0"/>
        <v>0</v>
      </c>
      <c r="H35" s="18"/>
      <c r="I35" s="10">
        <f t="shared" si="2"/>
        <v>379142.6123469068</v>
      </c>
      <c r="J35" s="5"/>
      <c r="O35" s="6" t="s">
        <v>99</v>
      </c>
      <c r="P35" s="7"/>
      <c r="Q35" s="3"/>
      <c r="R35" s="5"/>
      <c r="S35" s="5"/>
      <c r="T35" s="3"/>
      <c r="U35" s="3"/>
      <c r="V35" s="5"/>
    </row>
    <row r="36" spans="2:22" x14ac:dyDescent="0.35">
      <c r="B36" s="6" t="s">
        <v>29</v>
      </c>
      <c r="C36" s="7"/>
      <c r="D36" s="3">
        <f>(F35+SUM(D$12:D35))*$B$7</f>
        <v>-380988.10818398162</v>
      </c>
      <c r="E36" s="5"/>
      <c r="F36" s="5">
        <f t="shared" si="1"/>
        <v>-70000000</v>
      </c>
      <c r="G36" s="3">
        <f t="shared" si="0"/>
        <v>0</v>
      </c>
      <c r="H36" s="18"/>
      <c r="I36" s="10">
        <f t="shared" si="2"/>
        <v>380988.10818398162</v>
      </c>
      <c r="J36" s="5">
        <f>+AVERAGE(F24:F35)</f>
        <v>-70000000</v>
      </c>
      <c r="K36" s="5">
        <f>+SUM(I25:I36)</f>
        <v>4452000.0000000102</v>
      </c>
      <c r="L36" s="5">
        <f>+SUM(D25:D36)</f>
        <v>-4452000.0000000102</v>
      </c>
      <c r="M36" s="5">
        <f>+-SUM(G25:G36)</f>
        <v>0</v>
      </c>
      <c r="N36" s="5">
        <f>+SUM(E25:E36)</f>
        <v>0</v>
      </c>
      <c r="O36" s="5">
        <f>+M36+L36</f>
        <v>-4452000.0000000102</v>
      </c>
      <c r="P36" s="2">
        <f>+O36/J36</f>
        <v>6.3600000000000143E-2</v>
      </c>
      <c r="Q36" s="2">
        <f>+P36/12</f>
        <v>5.3000000000000122E-3</v>
      </c>
      <c r="R36" s="13">
        <f>+(1+Q36)^(12)-1</f>
        <v>6.5487086851492293E-2</v>
      </c>
      <c r="S36" s="5"/>
      <c r="T36" s="3"/>
      <c r="U36" s="3"/>
      <c r="V36" s="5"/>
    </row>
    <row r="37" spans="2:22" x14ac:dyDescent="0.35">
      <c r="B37" s="6" t="s">
        <v>30</v>
      </c>
      <c r="C37" s="7"/>
      <c r="D37" s="3">
        <f>(F36+SUM(D$12:D36))*$B$7</f>
        <v>-382842.5870653615</v>
      </c>
      <c r="E37" s="5"/>
      <c r="F37" s="5">
        <f t="shared" si="1"/>
        <v>-70000000</v>
      </c>
      <c r="G37" s="3">
        <f t="shared" si="0"/>
        <v>0</v>
      </c>
      <c r="H37" s="18"/>
      <c r="I37" s="10">
        <f t="shared" si="2"/>
        <v>382842.5870653615</v>
      </c>
      <c r="J37" s="5"/>
      <c r="O37" s="6"/>
      <c r="P37" s="7"/>
      <c r="Q37" s="3"/>
      <c r="R37" s="5"/>
      <c r="S37" s="5"/>
      <c r="T37" s="3"/>
      <c r="U37" s="3"/>
      <c r="V37" s="5"/>
    </row>
    <row r="38" spans="2:22" x14ac:dyDescent="0.35">
      <c r="B38" s="6" t="s">
        <v>31</v>
      </c>
      <c r="C38" s="7"/>
      <c r="D38" s="3">
        <f>(F37+SUM(D$12:D37))*$B$7</f>
        <v>-384706.09271646896</v>
      </c>
      <c r="E38" s="5"/>
      <c r="F38" s="5">
        <f t="shared" si="1"/>
        <v>-70000000</v>
      </c>
      <c r="G38" s="3">
        <f t="shared" si="0"/>
        <v>0</v>
      </c>
      <c r="H38" s="18"/>
      <c r="I38" s="10">
        <f t="shared" si="2"/>
        <v>384706.09271646896</v>
      </c>
      <c r="J38" s="5"/>
      <c r="O38" s="6"/>
      <c r="P38" s="7"/>
      <c r="Q38" s="3"/>
      <c r="R38" s="5"/>
      <c r="S38" s="5"/>
      <c r="T38" s="3"/>
      <c r="U38" s="3"/>
      <c r="V38" s="5"/>
    </row>
    <row r="39" spans="2:22" x14ac:dyDescent="0.35">
      <c r="B39" s="6" t="s">
        <v>32</v>
      </c>
      <c r="C39" s="7"/>
      <c r="D39" s="3">
        <f>(F38+SUM(D$12:D38))*$B$7</f>
        <v>-386578.66907556192</v>
      </c>
      <c r="E39" s="5"/>
      <c r="F39" s="5">
        <f t="shared" si="1"/>
        <v>-70000000</v>
      </c>
      <c r="G39" s="3">
        <f t="shared" si="0"/>
        <v>0</v>
      </c>
      <c r="H39" s="18"/>
      <c r="I39" s="10">
        <f t="shared" si="2"/>
        <v>386578.66907556192</v>
      </c>
      <c r="J39" s="5"/>
      <c r="O39" s="6"/>
      <c r="P39" s="7"/>
      <c r="Q39" s="3"/>
      <c r="R39" s="5"/>
      <c r="S39" s="5"/>
      <c r="T39" s="3"/>
      <c r="U39" s="3"/>
      <c r="V39" s="5"/>
    </row>
    <row r="40" spans="2:22" x14ac:dyDescent="0.35">
      <c r="B40" s="6" t="s">
        <v>33</v>
      </c>
      <c r="C40" s="7"/>
      <c r="D40" s="3">
        <f>(F39+SUM(D$12:D39))*$B$7</f>
        <v>-388460.36029477022</v>
      </c>
      <c r="E40" s="5"/>
      <c r="F40" s="5">
        <f t="shared" si="1"/>
        <v>-70000000</v>
      </c>
      <c r="G40" s="3">
        <f t="shared" si="0"/>
        <v>0</v>
      </c>
      <c r="H40" s="18"/>
      <c r="I40" s="10">
        <f t="shared" si="2"/>
        <v>388460.36029477022</v>
      </c>
      <c r="J40" s="5"/>
      <c r="O40" s="6"/>
      <c r="P40" s="7"/>
      <c r="Q40" s="3"/>
      <c r="R40" s="5"/>
      <c r="S40" s="5"/>
      <c r="T40" s="3"/>
      <c r="U40" s="3"/>
      <c r="V40" s="5"/>
    </row>
    <row r="41" spans="2:22" x14ac:dyDescent="0.35">
      <c r="B41" s="6" t="s">
        <v>34</v>
      </c>
      <c r="C41" s="7"/>
      <c r="D41" s="3">
        <f>(F40+SUM(D$12:D40))*$B$7</f>
        <v>-390351.21074113634</v>
      </c>
      <c r="E41" s="5"/>
      <c r="F41" s="5">
        <f t="shared" si="1"/>
        <v>-70000000</v>
      </c>
      <c r="G41" s="3">
        <f t="shared" si="0"/>
        <v>0</v>
      </c>
      <c r="H41" s="18"/>
      <c r="I41" s="10">
        <f t="shared" si="2"/>
        <v>390351.21074113634</v>
      </c>
      <c r="J41" s="5"/>
      <c r="O41" s="6"/>
      <c r="P41" s="7"/>
      <c r="Q41" s="3"/>
      <c r="R41" s="5"/>
      <c r="S41" s="5"/>
      <c r="T41" s="3"/>
      <c r="U41" s="3"/>
      <c r="V41" s="5"/>
    </row>
    <row r="42" spans="2:22" x14ac:dyDescent="0.35">
      <c r="B42" s="6" t="s">
        <v>35</v>
      </c>
      <c r="C42" s="7"/>
      <c r="D42" s="3">
        <f>(F41+SUM(D$12:D41))*$B$7</f>
        <v>-392251.26499766175</v>
      </c>
      <c r="E42" s="5"/>
      <c r="F42" s="5">
        <f t="shared" si="1"/>
        <v>-70000000</v>
      </c>
      <c r="G42" s="3">
        <f t="shared" si="0"/>
        <v>0</v>
      </c>
      <c r="H42" s="18"/>
      <c r="I42" s="10">
        <f t="shared" si="2"/>
        <v>392251.26499766175</v>
      </c>
      <c r="J42" s="5"/>
      <c r="O42" s="6"/>
      <c r="P42" s="7"/>
      <c r="Q42" s="3"/>
      <c r="R42" s="5"/>
      <c r="S42" s="5"/>
      <c r="T42" s="3"/>
      <c r="U42" s="3"/>
      <c r="V42" s="5"/>
    </row>
    <row r="43" spans="2:22" x14ac:dyDescent="0.35">
      <c r="B43" s="6" t="s">
        <v>36</v>
      </c>
      <c r="C43" s="7"/>
      <c r="D43" s="3">
        <f>(F42+SUM(D$12:D42))*$B$7</f>
        <v>-394160.56786435767</v>
      </c>
      <c r="E43" s="5"/>
      <c r="F43" s="5">
        <f t="shared" si="1"/>
        <v>-70000000</v>
      </c>
      <c r="G43" s="3">
        <f t="shared" si="0"/>
        <v>0</v>
      </c>
      <c r="H43" s="18"/>
      <c r="I43" s="10">
        <f t="shared" si="2"/>
        <v>394160.56786435767</v>
      </c>
      <c r="J43" s="5"/>
      <c r="O43" s="6"/>
      <c r="P43" s="7"/>
      <c r="Q43" s="3"/>
      <c r="R43" s="5"/>
      <c r="S43" s="5"/>
      <c r="T43" s="3"/>
      <c r="U43" s="3"/>
      <c r="V43" s="5"/>
    </row>
    <row r="44" spans="2:22" x14ac:dyDescent="0.35">
      <c r="B44" s="6" t="s">
        <v>37</v>
      </c>
      <c r="C44" s="7"/>
      <c r="D44" s="3">
        <f>(F43+SUM(D$12:D43))*$B$7</f>
        <v>-396079.16435930174</v>
      </c>
      <c r="E44" s="5"/>
      <c r="F44" s="5">
        <f t="shared" si="1"/>
        <v>-70000000</v>
      </c>
      <c r="G44" s="3">
        <f t="shared" si="0"/>
        <v>0</v>
      </c>
      <c r="H44" s="18"/>
      <c r="I44" s="10">
        <f t="shared" si="2"/>
        <v>396079.16435930174</v>
      </c>
      <c r="J44" s="5"/>
      <c r="O44" s="6"/>
      <c r="P44" s="7"/>
      <c r="Q44" s="3"/>
      <c r="R44" s="5"/>
      <c r="S44" s="5"/>
      <c r="T44" s="3"/>
      <c r="U44" s="3"/>
      <c r="V44" s="5"/>
    </row>
    <row r="45" spans="2:22" x14ac:dyDescent="0.35">
      <c r="B45" s="6" t="s">
        <v>38</v>
      </c>
      <c r="C45" s="7"/>
      <c r="D45" s="3">
        <f>(F44+SUM(D$12:D44))*$B$7</f>
        <v>-398007.09971969947</v>
      </c>
      <c r="E45" s="5"/>
      <c r="F45" s="5">
        <f t="shared" si="1"/>
        <v>-70000000</v>
      </c>
      <c r="G45" s="3">
        <f t="shared" si="0"/>
        <v>0</v>
      </c>
      <c r="H45" s="18"/>
      <c r="I45" s="10">
        <f t="shared" si="2"/>
        <v>398007.09971969947</v>
      </c>
      <c r="J45" s="5"/>
      <c r="O45" s="6"/>
      <c r="P45" s="7"/>
      <c r="Q45" s="3"/>
      <c r="R45" s="5"/>
      <c r="S45" s="5"/>
      <c r="T45" s="3"/>
      <c r="U45" s="3"/>
      <c r="V45" s="5"/>
    </row>
    <row r="46" spans="2:22" x14ac:dyDescent="0.35">
      <c r="B46" s="6" t="s">
        <v>39</v>
      </c>
      <c r="C46" s="7"/>
      <c r="D46" s="3">
        <f>(F45+SUM(D$12:D45))*$B$7</f>
        <v>-399944.41940295062</v>
      </c>
      <c r="E46" s="5"/>
      <c r="F46" s="5">
        <f t="shared" si="1"/>
        <v>-70000000</v>
      </c>
      <c r="G46" s="3">
        <f t="shared" si="0"/>
        <v>0</v>
      </c>
      <c r="H46" s="18"/>
      <c r="I46" s="10">
        <f t="shared" si="2"/>
        <v>399944.41940295062</v>
      </c>
      <c r="J46" s="5"/>
      <c r="O46" s="6"/>
      <c r="P46" s="7"/>
      <c r="Q46" s="3"/>
      <c r="R46" s="5"/>
      <c r="S46" s="5"/>
      <c r="T46" s="3"/>
      <c r="U46" s="3"/>
      <c r="V46" s="5"/>
    </row>
    <row r="47" spans="2:22" x14ac:dyDescent="0.35">
      <c r="B47" s="6" t="s">
        <v>40</v>
      </c>
      <c r="C47" s="7"/>
      <c r="D47" s="3">
        <f>(F46+SUM(D$12:D46))*$B$7</f>
        <v>-401891.16908772127</v>
      </c>
      <c r="E47" s="5"/>
      <c r="F47" s="5">
        <f t="shared" si="1"/>
        <v>-70000000</v>
      </c>
      <c r="G47" s="3">
        <f t="shared" si="0"/>
        <v>0</v>
      </c>
      <c r="H47" s="18"/>
      <c r="I47" s="10">
        <f t="shared" si="2"/>
        <v>401891.16908772127</v>
      </c>
      <c r="J47" s="5"/>
      <c r="O47" s="6" t="s">
        <v>99</v>
      </c>
      <c r="P47" s="7"/>
      <c r="Q47" s="3"/>
      <c r="R47" s="5"/>
      <c r="S47" s="5"/>
      <c r="T47" s="3"/>
      <c r="U47" s="3"/>
      <c r="V47" s="5"/>
    </row>
    <row r="48" spans="2:22" x14ac:dyDescent="0.35">
      <c r="B48" s="6" t="s">
        <v>41</v>
      </c>
      <c r="C48" s="7"/>
      <c r="D48" s="3">
        <f>(F47+SUM(D$12:D47))*$B$7</f>
        <v>-403847.39467502059</v>
      </c>
      <c r="E48" s="5"/>
      <c r="F48" s="5">
        <f t="shared" si="1"/>
        <v>-70000000</v>
      </c>
      <c r="G48" s="3">
        <f t="shared" si="0"/>
        <v>0</v>
      </c>
      <c r="H48" s="18"/>
      <c r="I48" s="10">
        <f t="shared" si="2"/>
        <v>403847.39467502059</v>
      </c>
      <c r="J48" s="5">
        <f>+AVERAGE(F36:F47)</f>
        <v>-70000000</v>
      </c>
      <c r="K48" s="5">
        <f>+SUM(I37:I48)</f>
        <v>4719120.0000000112</v>
      </c>
      <c r="L48" s="5">
        <f>+SUM(D37:D48)</f>
        <v>-4719120.0000000112</v>
      </c>
      <c r="M48" s="5">
        <f>+-SUM(G37:G48)</f>
        <v>0</v>
      </c>
      <c r="N48" s="5">
        <f>+SUM(E37:E48)</f>
        <v>0</v>
      </c>
      <c r="O48" s="5">
        <f>+M48+L48</f>
        <v>-4719120.0000000112</v>
      </c>
      <c r="P48" s="2">
        <f>+O48/J48</f>
        <v>6.7416000000000156E-2</v>
      </c>
      <c r="Q48" s="2">
        <f>+P48/12</f>
        <v>5.6180000000000127E-3</v>
      </c>
      <c r="R48" s="13">
        <f>+(1+Q48)^(12)-1</f>
        <v>6.9538593817876748E-2</v>
      </c>
      <c r="S48" s="5"/>
      <c r="T48" s="3"/>
      <c r="U48" s="3"/>
      <c r="V48" s="5"/>
    </row>
    <row r="49" spans="2:22" x14ac:dyDescent="0.35">
      <c r="B49" s="6" t="s">
        <v>42</v>
      </c>
      <c r="C49" s="7"/>
      <c r="D49" s="3">
        <f>(F48+SUM(D$12:D48))*$B$7</f>
        <v>-405813.14228928328</v>
      </c>
      <c r="E49" s="5"/>
      <c r="F49" s="5">
        <f t="shared" si="1"/>
        <v>-70000000</v>
      </c>
      <c r="G49" s="3">
        <f t="shared" si="0"/>
        <v>0</v>
      </c>
      <c r="H49" s="18"/>
      <c r="I49" s="10">
        <f t="shared" si="2"/>
        <v>405813.14228928328</v>
      </c>
      <c r="J49" s="5"/>
      <c r="O49" s="6"/>
      <c r="P49" s="7"/>
      <c r="Q49" s="3"/>
      <c r="R49" s="5"/>
      <c r="S49" s="5"/>
      <c r="T49" s="3"/>
      <c r="U49" s="3"/>
      <c r="V49" s="5"/>
    </row>
    <row r="50" spans="2:22" x14ac:dyDescent="0.35">
      <c r="B50" s="6" t="s">
        <v>43</v>
      </c>
      <c r="C50" s="7"/>
      <c r="D50" s="3">
        <f>(F49+SUM(D$12:D49))*$B$7</f>
        <v>-407788.45827945712</v>
      </c>
      <c r="E50" s="5"/>
      <c r="F50" s="5">
        <f t="shared" si="1"/>
        <v>-70000000</v>
      </c>
      <c r="G50" s="3">
        <f t="shared" si="0"/>
        <v>0</v>
      </c>
      <c r="H50" s="18"/>
      <c r="I50" s="10">
        <f t="shared" si="2"/>
        <v>407788.45827945712</v>
      </c>
      <c r="J50" s="5"/>
      <c r="O50" s="6"/>
      <c r="P50" s="7"/>
      <c r="Q50" s="3"/>
      <c r="R50" s="5"/>
      <c r="S50" s="5"/>
      <c r="T50" s="3"/>
      <c r="U50" s="3"/>
      <c r="V50" s="5"/>
    </row>
    <row r="51" spans="2:22" x14ac:dyDescent="0.35">
      <c r="B51" s="6" t="s">
        <v>44</v>
      </c>
      <c r="C51" s="7"/>
      <c r="D51" s="3">
        <f>(F50+SUM(D$12:D50))*$B$7</f>
        <v>-409773.38922009565</v>
      </c>
      <c r="E51" s="5"/>
      <c r="F51" s="5">
        <f t="shared" si="1"/>
        <v>-70000000</v>
      </c>
      <c r="G51" s="3">
        <f t="shared" si="0"/>
        <v>0</v>
      </c>
      <c r="H51" s="18"/>
      <c r="I51" s="10">
        <f t="shared" si="2"/>
        <v>409773.38922009565</v>
      </c>
      <c r="J51" s="5"/>
      <c r="O51" s="6"/>
      <c r="P51" s="7"/>
      <c r="Q51" s="3"/>
      <c r="R51" s="5"/>
      <c r="S51" s="5"/>
      <c r="T51" s="3"/>
      <c r="U51" s="3"/>
      <c r="V51" s="5"/>
    </row>
    <row r="52" spans="2:22" x14ac:dyDescent="0.35">
      <c r="B52" s="6" t="s">
        <v>45</v>
      </c>
      <c r="C52" s="7"/>
      <c r="D52" s="3">
        <f>(F51+SUM(D$12:D51))*$B$7</f>
        <v>-411767.98191245645</v>
      </c>
      <c r="E52" s="5"/>
      <c r="F52" s="5">
        <f t="shared" si="1"/>
        <v>-70000000</v>
      </c>
      <c r="G52" s="3">
        <f t="shared" si="0"/>
        <v>0</v>
      </c>
      <c r="H52" s="18"/>
      <c r="I52" s="10">
        <f t="shared" si="2"/>
        <v>411767.98191245645</v>
      </c>
      <c r="J52" s="5"/>
      <c r="O52" s="6"/>
      <c r="P52" s="7"/>
      <c r="Q52" s="3"/>
      <c r="R52" s="5"/>
      <c r="S52" s="5"/>
      <c r="T52" s="3"/>
      <c r="U52" s="3"/>
      <c r="V52" s="5"/>
    </row>
    <row r="53" spans="2:22" x14ac:dyDescent="0.35">
      <c r="B53" s="6" t="s">
        <v>46</v>
      </c>
      <c r="C53" s="7"/>
      <c r="D53" s="3">
        <f>(F52+SUM(D$12:D52))*$B$7</f>
        <v>-413772.28338560462</v>
      </c>
      <c r="E53" s="5"/>
      <c r="F53" s="5">
        <f t="shared" si="1"/>
        <v>-70000000</v>
      </c>
      <c r="G53" s="3">
        <f t="shared" si="0"/>
        <v>0</v>
      </c>
      <c r="H53" s="18"/>
      <c r="I53" s="10">
        <f t="shared" si="2"/>
        <v>413772.28338560462</v>
      </c>
      <c r="J53" s="5"/>
      <c r="O53" s="6"/>
      <c r="P53" s="7"/>
      <c r="Q53" s="3"/>
      <c r="R53" s="5"/>
      <c r="S53" s="5"/>
      <c r="T53" s="3"/>
      <c r="U53" s="3"/>
      <c r="V53" s="5"/>
    </row>
    <row r="54" spans="2:22" x14ac:dyDescent="0.35">
      <c r="B54" s="6" t="s">
        <v>47</v>
      </c>
      <c r="C54" s="7"/>
      <c r="D54" s="3">
        <f>(F53+SUM(D$12:D53))*$B$7</f>
        <v>-415786.34089752153</v>
      </c>
      <c r="E54" s="5"/>
      <c r="F54" s="5">
        <f t="shared" si="1"/>
        <v>-70000000</v>
      </c>
      <c r="G54" s="3">
        <f t="shared" si="0"/>
        <v>0</v>
      </c>
      <c r="H54" s="18"/>
      <c r="I54" s="10">
        <f t="shared" si="2"/>
        <v>415786.34089752153</v>
      </c>
      <c r="J54" s="5"/>
      <c r="O54" s="6"/>
      <c r="P54" s="7"/>
      <c r="Q54" s="3"/>
      <c r="R54" s="5"/>
      <c r="S54" s="5"/>
      <c r="T54" s="3"/>
      <c r="U54" s="3"/>
      <c r="V54" s="5"/>
    </row>
    <row r="55" spans="2:22" x14ac:dyDescent="0.35">
      <c r="B55" s="6" t="s">
        <v>48</v>
      </c>
      <c r="C55" s="7"/>
      <c r="D55" s="3">
        <f>(F54+SUM(D$12:D54))*$B$7</f>
        <v>-417810.20193621912</v>
      </c>
      <c r="E55" s="5"/>
      <c r="F55" s="5">
        <f t="shared" si="1"/>
        <v>-70000000</v>
      </c>
      <c r="G55" s="3">
        <f t="shared" si="0"/>
        <v>0</v>
      </c>
      <c r="H55" s="18"/>
      <c r="I55" s="10">
        <f t="shared" si="2"/>
        <v>417810.20193621912</v>
      </c>
      <c r="J55" s="5"/>
      <c r="O55" s="6"/>
      <c r="P55" s="7"/>
      <c r="Q55" s="3"/>
      <c r="R55" s="5"/>
      <c r="S55" s="5"/>
      <c r="T55" s="3"/>
      <c r="U55" s="3"/>
      <c r="V55" s="5"/>
    </row>
    <row r="56" spans="2:22" x14ac:dyDescent="0.35">
      <c r="B56" s="6" t="s">
        <v>49</v>
      </c>
      <c r="C56" s="7"/>
      <c r="D56" s="3">
        <f>(F55+SUM(D$12:D55))*$B$7</f>
        <v>-419843.91422085994</v>
      </c>
      <c r="E56" s="5"/>
      <c r="F56" s="5">
        <f t="shared" si="1"/>
        <v>-70000000</v>
      </c>
      <c r="G56" s="3">
        <f t="shared" si="0"/>
        <v>0</v>
      </c>
      <c r="H56" s="18"/>
      <c r="I56" s="10">
        <f t="shared" si="2"/>
        <v>419843.91422085994</v>
      </c>
      <c r="J56" s="5"/>
      <c r="O56" s="6"/>
      <c r="P56" s="7"/>
      <c r="Q56" s="3"/>
      <c r="R56" s="5"/>
      <c r="S56" s="5"/>
      <c r="T56" s="3"/>
      <c r="U56" s="3"/>
      <c r="V56" s="5"/>
    </row>
    <row r="57" spans="2:22" x14ac:dyDescent="0.35">
      <c r="B57" s="6" t="s">
        <v>50</v>
      </c>
      <c r="C57" s="7"/>
      <c r="D57" s="3">
        <f>(F56+SUM(D$12:D56))*$B$7</f>
        <v>-421887.52570288145</v>
      </c>
      <c r="E57" s="5"/>
      <c r="F57" s="5">
        <f t="shared" si="1"/>
        <v>-70000000</v>
      </c>
      <c r="G57" s="3">
        <f t="shared" si="0"/>
        <v>0</v>
      </c>
      <c r="H57" s="18"/>
      <c r="I57" s="10">
        <f t="shared" si="2"/>
        <v>421887.52570288145</v>
      </c>
      <c r="J57" s="5"/>
      <c r="O57" s="6"/>
      <c r="P57" s="7"/>
      <c r="Q57" s="3"/>
      <c r="R57" s="5"/>
      <c r="S57" s="5"/>
      <c r="T57" s="3"/>
      <c r="U57" s="3"/>
      <c r="V57" s="5"/>
    </row>
    <row r="58" spans="2:22" x14ac:dyDescent="0.35">
      <c r="B58" s="6" t="s">
        <v>51</v>
      </c>
      <c r="C58" s="7"/>
      <c r="D58" s="3">
        <f>(F57+SUM(D$12:D57))*$B$7</f>
        <v>-423941.08456712769</v>
      </c>
      <c r="E58" s="5"/>
      <c r="F58" s="5">
        <f t="shared" si="1"/>
        <v>-70000000</v>
      </c>
      <c r="G58" s="3">
        <f t="shared" si="0"/>
        <v>0</v>
      </c>
      <c r="H58" s="18"/>
      <c r="I58" s="10">
        <f t="shared" si="2"/>
        <v>423941.08456712769</v>
      </c>
      <c r="J58" s="5"/>
      <c r="O58" s="6"/>
      <c r="P58" s="7"/>
      <c r="Q58" s="3"/>
      <c r="R58" s="5"/>
      <c r="S58" s="5"/>
      <c r="T58" s="3"/>
      <c r="U58" s="3"/>
      <c r="V58" s="5"/>
    </row>
    <row r="59" spans="2:22" x14ac:dyDescent="0.35">
      <c r="B59" s="6" t="s">
        <v>52</v>
      </c>
      <c r="C59" s="7"/>
      <c r="D59" s="3">
        <f>(F58+SUM(D$12:D58))*$B$7</f>
        <v>-426004.63923298457</v>
      </c>
      <c r="E59" s="5"/>
      <c r="F59" s="5">
        <f t="shared" si="1"/>
        <v>-70000000</v>
      </c>
      <c r="G59" s="3">
        <f t="shared" si="0"/>
        <v>0</v>
      </c>
      <c r="H59" s="18"/>
      <c r="I59" s="10">
        <f t="shared" si="2"/>
        <v>426004.63923298457</v>
      </c>
      <c r="J59" s="5"/>
      <c r="O59" s="6" t="s">
        <v>99</v>
      </c>
      <c r="P59" s="7"/>
      <c r="Q59" s="3"/>
      <c r="R59" s="5"/>
      <c r="S59" s="5"/>
      <c r="T59" s="3"/>
      <c r="U59" s="3"/>
      <c r="V59" s="5"/>
    </row>
    <row r="60" spans="2:22" x14ac:dyDescent="0.35">
      <c r="B60" s="6" t="s">
        <v>53</v>
      </c>
      <c r="C60" s="7"/>
      <c r="D60" s="3">
        <f>(F59+SUM(D$12:D59))*$B$7</f>
        <v>-428078.23835552187</v>
      </c>
      <c r="E60" s="5"/>
      <c r="F60" s="5">
        <f t="shared" si="1"/>
        <v>-70000000</v>
      </c>
      <c r="G60" s="3">
        <f t="shared" si="0"/>
        <v>0</v>
      </c>
      <c r="H60" s="18"/>
      <c r="I60" s="10">
        <f>+-D60-B4</f>
        <v>70428078.238355517</v>
      </c>
      <c r="J60" s="5">
        <f>+AVERAGE(F48:F59)</f>
        <v>-70000000</v>
      </c>
      <c r="K60" s="5">
        <f>+SUM(I49:I60)</f>
        <v>75002267.200000003</v>
      </c>
      <c r="L60" s="5">
        <f>+SUM(D49:D60)</f>
        <v>-5002267.2000000132</v>
      </c>
      <c r="M60" s="5">
        <f>+-SUM(G49:G60)</f>
        <v>0</v>
      </c>
      <c r="N60" s="5">
        <f>+SUM(E49:E60)</f>
        <v>0</v>
      </c>
      <c r="O60" s="5">
        <f>+M60+L60</f>
        <v>-5002267.2000000132</v>
      </c>
      <c r="P60" s="2">
        <f>+O60/J60</f>
        <v>7.1460960000000184E-2</v>
      </c>
      <c r="Q60" s="2">
        <f>+P60/12</f>
        <v>5.9550800000000154E-3</v>
      </c>
      <c r="R60" s="13">
        <f>+(1+Q60)^(12)-1</f>
        <v>7.38486057027814E-2</v>
      </c>
      <c r="S60" s="5"/>
      <c r="T60" s="3"/>
      <c r="U60" s="3"/>
      <c r="V60" s="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"/>
  <dimension ref="A1:AD41"/>
  <sheetViews>
    <sheetView showGridLines="0" showRowColHeaders="0" tabSelected="1" zoomScale="70" zoomScaleNormal="70" workbookViewId="0">
      <selection activeCell="L13" sqref="L13"/>
    </sheetView>
  </sheetViews>
  <sheetFormatPr baseColWidth="10" defaultColWidth="0" defaultRowHeight="13" zeroHeight="1" x14ac:dyDescent="0.3"/>
  <cols>
    <col min="1" max="1" width="6.26953125" style="203" customWidth="1"/>
    <col min="2" max="2" width="5" style="205" customWidth="1"/>
    <col min="3" max="4" width="1.54296875" style="205" customWidth="1"/>
    <col min="5" max="5" width="33.81640625" style="205" customWidth="1"/>
    <col min="6" max="6" width="17" style="205" customWidth="1"/>
    <col min="7" max="7" width="3.54296875" style="205" customWidth="1"/>
    <col min="8" max="8" width="31.453125" style="205" customWidth="1"/>
    <col min="9" max="9" width="14.90625" style="205" bestFit="1" customWidth="1"/>
    <col min="10" max="10" width="3.81640625" style="205" customWidth="1"/>
    <col min="11" max="11" width="31.453125" style="205" customWidth="1"/>
    <col min="12" max="12" width="15.453125" style="205" bestFit="1" customWidth="1"/>
    <col min="13" max="13" width="1" style="205" customWidth="1"/>
    <col min="14" max="14" width="6.1796875" style="205" customWidth="1"/>
    <col min="15" max="15" width="13.54296875" style="205" customWidth="1"/>
    <col min="16" max="16" width="11.453125" style="205" customWidth="1"/>
    <col min="17" max="17" width="13.54296875" style="203" customWidth="1"/>
    <col min="18" max="18" width="11.81640625" style="205" hidden="1" customWidth="1"/>
    <col min="19" max="29" width="11.453125" style="205" hidden="1" customWidth="1"/>
    <col min="30" max="30" width="10.81640625" style="206" hidden="1" customWidth="1"/>
    <col min="31" max="16384" width="11.453125" style="205" hidden="1"/>
  </cols>
  <sheetData>
    <row r="1" spans="1:30" s="203" customFormat="1" x14ac:dyDescent="0.3">
      <c r="AD1" s="204"/>
    </row>
    <row r="2" spans="1:30" s="203" customFormat="1" x14ac:dyDescent="0.3">
      <c r="AD2" s="204"/>
    </row>
    <row r="3" spans="1:30" x14ac:dyDescent="0.3"/>
    <row r="4" spans="1:30" ht="6" customHeight="1" x14ac:dyDescent="0.3"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8"/>
      <c r="O4" s="208"/>
    </row>
    <row r="5" spans="1:30" ht="14.5" customHeight="1" x14ac:dyDescent="0.3"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8"/>
      <c r="O5" s="208"/>
    </row>
    <row r="6" spans="1:30" ht="26.25" customHeight="1" thickBot="1" x14ac:dyDescent="0.35"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8"/>
      <c r="O6" s="208"/>
    </row>
    <row r="7" spans="1:30" ht="14.5" customHeight="1" x14ac:dyDescent="0.3">
      <c r="C7" s="207"/>
      <c r="D7" s="209"/>
      <c r="E7" s="210"/>
      <c r="F7" s="210"/>
      <c r="G7" s="210"/>
      <c r="H7" s="210"/>
      <c r="I7" s="210"/>
      <c r="J7" s="210"/>
      <c r="K7" s="210"/>
      <c r="L7" s="210"/>
      <c r="M7" s="211"/>
      <c r="N7" s="208"/>
      <c r="O7" s="208"/>
    </row>
    <row r="8" spans="1:30" ht="14.5" customHeight="1" x14ac:dyDescent="0.3">
      <c r="C8" s="207"/>
      <c r="D8" s="212"/>
      <c r="E8" s="207"/>
      <c r="F8" s="207"/>
      <c r="G8" s="207"/>
      <c r="H8" s="207"/>
      <c r="I8" s="207"/>
      <c r="J8" s="207"/>
      <c r="K8" s="207"/>
      <c r="L8" s="207"/>
      <c r="M8" s="213"/>
      <c r="N8" s="208"/>
      <c r="O8" s="208"/>
    </row>
    <row r="9" spans="1:30" ht="14.5" customHeight="1" x14ac:dyDescent="0.45">
      <c r="C9" s="207"/>
      <c r="D9" s="212"/>
      <c r="E9" s="208"/>
      <c r="F9" s="214" t="s">
        <v>298</v>
      </c>
      <c r="G9" s="214"/>
      <c r="H9" s="214"/>
      <c r="I9" s="214"/>
      <c r="J9" s="214"/>
      <c r="K9" s="214"/>
      <c r="L9" s="215"/>
      <c r="M9" s="213"/>
      <c r="N9" s="208"/>
      <c r="O9" s="208"/>
    </row>
    <row r="10" spans="1:30" ht="14.5" customHeight="1" x14ac:dyDescent="0.3">
      <c r="C10" s="207"/>
      <c r="D10" s="212"/>
      <c r="E10" s="207"/>
      <c r="F10" s="207"/>
      <c r="G10" s="207"/>
      <c r="H10" s="207"/>
      <c r="I10" s="207"/>
      <c r="J10" s="207"/>
      <c r="K10" s="207"/>
      <c r="L10" s="207"/>
      <c r="M10" s="213"/>
      <c r="N10" s="208"/>
      <c r="O10" s="208"/>
    </row>
    <row r="11" spans="1:30" ht="14.5" customHeight="1" thickBot="1" x14ac:dyDescent="0.35">
      <c r="C11" s="207"/>
      <c r="D11" s="212"/>
      <c r="E11" s="207"/>
      <c r="F11" s="207"/>
      <c r="G11" s="207"/>
      <c r="H11" s="207"/>
      <c r="I11" s="207"/>
      <c r="J11" s="207"/>
      <c r="K11" s="207"/>
      <c r="L11" s="207"/>
      <c r="M11" s="213"/>
      <c r="N11" s="208"/>
      <c r="O11" s="208"/>
    </row>
    <row r="12" spans="1:30" s="217" customFormat="1" ht="24.5" customHeight="1" x14ac:dyDescent="0.35">
      <c r="A12" s="216"/>
      <c r="C12" s="218"/>
      <c r="D12" s="219"/>
      <c r="E12" s="220" t="s">
        <v>284</v>
      </c>
      <c r="F12" s="221"/>
      <c r="G12" s="218"/>
      <c r="H12" s="222" t="s">
        <v>283</v>
      </c>
      <c r="I12" s="223"/>
      <c r="J12" s="218"/>
      <c r="K12" s="224" t="s">
        <v>282</v>
      </c>
      <c r="L12" s="225"/>
      <c r="M12" s="226"/>
      <c r="N12" s="227"/>
      <c r="O12" s="227"/>
      <c r="Q12" s="216"/>
      <c r="AD12" s="228"/>
    </row>
    <row r="13" spans="1:30" ht="19" customHeight="1" x14ac:dyDescent="0.3">
      <c r="C13" s="207"/>
      <c r="D13" s="212"/>
      <c r="E13" s="229" t="s">
        <v>304</v>
      </c>
      <c r="F13" s="279" t="s">
        <v>401</v>
      </c>
      <c r="G13" s="207"/>
      <c r="H13" s="229" t="s">
        <v>90</v>
      </c>
      <c r="I13" s="230">
        <f>+Simulador!J6</f>
        <v>120000000</v>
      </c>
      <c r="J13" s="207"/>
      <c r="K13" s="229" t="s">
        <v>293</v>
      </c>
      <c r="L13" s="230">
        <f>+Simulador!J19+Simulador!K19</f>
        <v>1368400.9989570146</v>
      </c>
      <c r="M13" s="213"/>
      <c r="N13" s="208"/>
      <c r="O13" s="231"/>
      <c r="P13" s="232"/>
      <c r="Q13" s="233"/>
    </row>
    <row r="14" spans="1:30" ht="19" customHeight="1" x14ac:dyDescent="0.3">
      <c r="C14" s="207"/>
      <c r="D14" s="212"/>
      <c r="E14" s="234" t="s">
        <v>403</v>
      </c>
      <c r="F14" s="280" t="s">
        <v>405</v>
      </c>
      <c r="G14" s="207"/>
      <c r="H14" s="219" t="s">
        <v>286</v>
      </c>
      <c r="I14" s="235">
        <f>+F18*12</f>
        <v>300</v>
      </c>
      <c r="J14" s="207"/>
      <c r="K14" s="219" t="s">
        <v>299</v>
      </c>
      <c r="L14" s="236">
        <f>+Simulador!Q19*-1</f>
        <v>1592831.6699070146</v>
      </c>
      <c r="M14" s="213"/>
      <c r="N14" s="208"/>
      <c r="O14" s="231"/>
      <c r="P14" s="232"/>
      <c r="Q14" s="233"/>
    </row>
    <row r="15" spans="1:30" ht="19" customHeight="1" x14ac:dyDescent="0.3">
      <c r="C15" s="207"/>
      <c r="D15" s="212"/>
      <c r="E15" s="229" t="s">
        <v>292</v>
      </c>
      <c r="F15" s="279">
        <v>940279950</v>
      </c>
      <c r="G15" s="207"/>
      <c r="H15" s="229" t="s">
        <v>274</v>
      </c>
      <c r="I15" s="237">
        <f>+Simulador!J8</f>
        <v>0.1399</v>
      </c>
      <c r="J15" s="207"/>
      <c r="K15" s="229" t="s">
        <v>105</v>
      </c>
      <c r="L15" s="230">
        <f>+Simulador!W6</f>
        <v>120000000.00000018</v>
      </c>
      <c r="M15" s="213"/>
      <c r="N15" s="208"/>
      <c r="O15" s="231"/>
      <c r="P15" s="232"/>
      <c r="Q15" s="233"/>
    </row>
    <row r="16" spans="1:30" ht="19" customHeight="1" x14ac:dyDescent="0.3">
      <c r="C16" s="207"/>
      <c r="D16" s="212"/>
      <c r="E16" s="234" t="s">
        <v>407</v>
      </c>
      <c r="F16" s="238">
        <f>+IF(OR(F13="vivienda VIS",F13="vivienda NO VIS"),F15*70%,IF(F13="Libre Inversión",F15*70%,IF(F13="Comercial",F15*50%,"")))</f>
        <v>658195965</v>
      </c>
      <c r="G16" s="207"/>
      <c r="H16" s="219" t="s">
        <v>273</v>
      </c>
      <c r="I16" s="239">
        <f>+Simulador!J9</f>
        <v>1.0971461456750209E-2</v>
      </c>
      <c r="J16" s="207"/>
      <c r="K16" s="219" t="s">
        <v>297</v>
      </c>
      <c r="L16" s="236">
        <f>+Simulador!W7</f>
        <v>290520299.68710452</v>
      </c>
      <c r="M16" s="213"/>
      <c r="N16" s="208"/>
      <c r="O16" s="231"/>
      <c r="P16" s="232"/>
      <c r="Q16" s="233"/>
    </row>
    <row r="17" spans="1:30" ht="19" customHeight="1" x14ac:dyDescent="0.3">
      <c r="C17" s="207"/>
      <c r="D17" s="212"/>
      <c r="E17" s="229" t="s">
        <v>291</v>
      </c>
      <c r="F17" s="279">
        <v>120000000</v>
      </c>
      <c r="G17" s="207"/>
      <c r="H17" s="229" t="s">
        <v>275</v>
      </c>
      <c r="I17" s="240">
        <f ca="1">+TODAY()</f>
        <v>45537</v>
      </c>
      <c r="J17" s="207"/>
      <c r="K17" s="229" t="s">
        <v>209</v>
      </c>
      <c r="L17" s="230">
        <f>+Simulador!M14</f>
        <v>11968795.221695757</v>
      </c>
      <c r="M17" s="213"/>
      <c r="N17" s="208"/>
      <c r="O17" s="208"/>
    </row>
    <row r="18" spans="1:30" ht="19" customHeight="1" x14ac:dyDescent="0.3">
      <c r="C18" s="207"/>
      <c r="D18" s="212"/>
      <c r="E18" s="234" t="s">
        <v>408</v>
      </c>
      <c r="F18" s="280">
        <v>25</v>
      </c>
      <c r="G18" s="207"/>
      <c r="H18" s="219" t="s">
        <v>290</v>
      </c>
      <c r="I18" s="241" t="s">
        <v>289</v>
      </c>
      <c r="J18" s="207"/>
      <c r="K18" s="219" t="s">
        <v>301</v>
      </c>
      <c r="L18" s="236">
        <f>+Simulador!O14</f>
        <v>51057201.285000198</v>
      </c>
      <c r="M18" s="213"/>
      <c r="N18" s="208"/>
      <c r="O18" s="208"/>
      <c r="U18" s="242"/>
      <c r="V18" s="242"/>
    </row>
    <row r="19" spans="1:30" ht="19" customHeight="1" x14ac:dyDescent="0.3">
      <c r="C19" s="207"/>
      <c r="D19" s="212"/>
      <c r="E19" s="229" t="s">
        <v>416</v>
      </c>
      <c r="F19" s="237">
        <f>+VLOOKUP($F$13&amp;$F$14&amp;IF(F17&lt;300000000,"&lt;300","&gt;=300"),TASAS!A2:H194,8,0)</f>
        <v>0.1399</v>
      </c>
      <c r="G19" s="207"/>
      <c r="H19" s="229" t="s">
        <v>288</v>
      </c>
      <c r="I19" s="230" t="s">
        <v>289</v>
      </c>
      <c r="J19" s="207"/>
      <c r="K19" s="229" t="s">
        <v>278</v>
      </c>
      <c r="L19" s="230">
        <f>+Simulador!W9</f>
        <v>473546296.19380087</v>
      </c>
      <c r="M19" s="213"/>
      <c r="N19" s="208"/>
      <c r="O19" s="208"/>
    </row>
    <row r="20" spans="1:30" ht="19" customHeight="1" thickBot="1" x14ac:dyDescent="0.35">
      <c r="C20" s="207"/>
      <c r="D20" s="212"/>
      <c r="E20" s="243" t="s">
        <v>285</v>
      </c>
      <c r="F20" s="244">
        <v>35750</v>
      </c>
      <c r="G20" s="207"/>
      <c r="H20" s="243" t="s">
        <v>207</v>
      </c>
      <c r="I20" s="245">
        <f ca="1">(TODAY()-F20)/365</f>
        <v>26.813698630136987</v>
      </c>
      <c r="J20" s="207"/>
      <c r="K20" s="243" t="s">
        <v>300</v>
      </c>
      <c r="L20" s="246">
        <f>+Simulador!W10</f>
        <v>0.16710712860386723</v>
      </c>
      <c r="M20" s="213"/>
      <c r="N20" s="208"/>
      <c r="O20" s="208"/>
    </row>
    <row r="21" spans="1:30" ht="14.5" customHeight="1" x14ac:dyDescent="0.3">
      <c r="C21" s="207"/>
      <c r="D21" s="212"/>
      <c r="E21" s="207"/>
      <c r="F21" s="247"/>
      <c r="G21" s="207"/>
      <c r="H21" s="208"/>
      <c r="I21" s="208"/>
      <c r="J21" s="207"/>
      <c r="K21" s="208"/>
      <c r="L21" s="208"/>
      <c r="M21" s="213"/>
      <c r="N21" s="208"/>
      <c r="O21" s="208"/>
    </row>
    <row r="22" spans="1:30" ht="25" customHeight="1" x14ac:dyDescent="0.3">
      <c r="C22" s="207"/>
      <c r="D22" s="212"/>
      <c r="E22" s="248"/>
      <c r="F22" s="249"/>
      <c r="G22" s="207"/>
      <c r="H22" s="208"/>
      <c r="I22" s="208"/>
      <c r="J22" s="207"/>
      <c r="K22" s="208"/>
      <c r="L22" s="208"/>
      <c r="M22" s="213"/>
      <c r="N22" s="208"/>
      <c r="O22" s="208"/>
    </row>
    <row r="23" spans="1:30" ht="34.5" customHeight="1" x14ac:dyDescent="0.3">
      <c r="C23" s="207"/>
      <c r="D23" s="212"/>
      <c r="E23" s="250" t="s">
        <v>409</v>
      </c>
      <c r="F23" s="250"/>
      <c r="G23" s="250"/>
      <c r="H23" s="250"/>
      <c r="I23" s="250"/>
      <c r="J23" s="250"/>
      <c r="K23" s="250"/>
      <c r="L23" s="250"/>
      <c r="M23" s="251"/>
      <c r="N23" s="208"/>
      <c r="O23" s="208"/>
    </row>
    <row r="24" spans="1:30" ht="34.5" customHeight="1" x14ac:dyDescent="0.3">
      <c r="C24" s="207"/>
      <c r="D24" s="212"/>
      <c r="E24" s="252" t="s">
        <v>414</v>
      </c>
      <c r="F24" s="252"/>
      <c r="G24" s="252"/>
      <c r="H24" s="252"/>
      <c r="I24" s="252"/>
      <c r="J24" s="252"/>
      <c r="K24" s="252"/>
      <c r="L24" s="252"/>
      <c r="M24" s="253"/>
      <c r="N24" s="208"/>
      <c r="O24" s="208"/>
    </row>
    <row r="25" spans="1:30" ht="34.5" customHeight="1" x14ac:dyDescent="0.3">
      <c r="C25" s="207"/>
      <c r="D25" s="212"/>
      <c r="E25" s="254" t="s">
        <v>410</v>
      </c>
      <c r="F25" s="254"/>
      <c r="G25" s="254"/>
      <c r="H25" s="254"/>
      <c r="I25" s="254"/>
      <c r="J25" s="254"/>
      <c r="K25" s="254"/>
      <c r="L25" s="254"/>
      <c r="M25" s="251"/>
      <c r="N25" s="208"/>
      <c r="O25" s="208"/>
      <c r="AD25" s="205"/>
    </row>
    <row r="26" spans="1:30" ht="34.5" customHeight="1" x14ac:dyDescent="0.3">
      <c r="C26" s="207"/>
      <c r="D26" s="212"/>
      <c r="E26" s="254" t="s">
        <v>411</v>
      </c>
      <c r="F26" s="254"/>
      <c r="G26" s="254"/>
      <c r="H26" s="254"/>
      <c r="I26" s="254"/>
      <c r="J26" s="254"/>
      <c r="K26" s="254"/>
      <c r="L26" s="254"/>
      <c r="M26" s="251"/>
      <c r="N26" s="208"/>
      <c r="O26" s="208"/>
      <c r="AD26" s="205"/>
    </row>
    <row r="27" spans="1:30" ht="34.5" customHeight="1" thickBot="1" x14ac:dyDescent="0.35">
      <c r="C27" s="207"/>
      <c r="D27" s="255"/>
      <c r="E27" s="256" t="s">
        <v>307</v>
      </c>
      <c r="F27" s="256"/>
      <c r="G27" s="256"/>
      <c r="H27" s="256"/>
      <c r="I27" s="256"/>
      <c r="J27" s="256"/>
      <c r="K27" s="256"/>
      <c r="L27" s="256"/>
      <c r="M27" s="257"/>
      <c r="N27" s="208"/>
      <c r="O27" s="208"/>
      <c r="AD27" s="205"/>
    </row>
    <row r="28" spans="1:30" ht="10.5" customHeight="1" x14ac:dyDescent="0.3">
      <c r="C28" s="207"/>
      <c r="D28" s="207"/>
      <c r="E28" s="208"/>
      <c r="F28" s="208"/>
      <c r="G28" s="207"/>
      <c r="H28" s="258"/>
      <c r="I28" s="259"/>
      <c r="J28" s="207"/>
      <c r="K28" s="260"/>
      <c r="L28" s="261"/>
      <c r="M28" s="207"/>
      <c r="N28" s="208"/>
      <c r="O28" s="208"/>
      <c r="AD28" s="205"/>
    </row>
    <row r="29" spans="1:30" ht="5.25" customHeight="1" x14ac:dyDescent="0.3">
      <c r="C29" s="208"/>
      <c r="D29" s="208"/>
      <c r="E29" s="262" t="s">
        <v>294</v>
      </c>
      <c r="F29" s="263"/>
      <c r="G29" s="264"/>
      <c r="H29" s="264"/>
      <c r="I29" s="264"/>
      <c r="J29" s="264"/>
      <c r="K29" s="264"/>
      <c r="L29" s="264"/>
      <c r="M29" s="208"/>
      <c r="N29" s="208"/>
      <c r="O29" s="208"/>
      <c r="AC29" s="265">
        <v>24</v>
      </c>
    </row>
    <row r="30" spans="1:30" ht="5.25" customHeight="1" thickBot="1" x14ac:dyDescent="0.35">
      <c r="C30" s="208"/>
      <c r="D30" s="208"/>
      <c r="E30" s="262"/>
      <c r="F30" s="266"/>
      <c r="G30" s="208"/>
      <c r="H30" s="208"/>
      <c r="I30" s="208"/>
      <c r="J30" s="208"/>
      <c r="K30" s="208"/>
      <c r="L30" s="208"/>
      <c r="M30" s="208"/>
      <c r="AC30" s="265"/>
    </row>
    <row r="31" spans="1:30" s="268" customFormat="1" ht="276.5" customHeight="1" thickBot="1" x14ac:dyDescent="0.35">
      <c r="A31" s="267"/>
      <c r="D31" s="269" t="s">
        <v>415</v>
      </c>
      <c r="E31" s="270"/>
      <c r="F31" s="270"/>
      <c r="G31" s="270"/>
      <c r="H31" s="270"/>
      <c r="I31" s="270"/>
      <c r="J31" s="270"/>
      <c r="K31" s="270"/>
      <c r="L31" s="271"/>
      <c r="Q31" s="267"/>
      <c r="AC31" s="265">
        <v>25</v>
      </c>
      <c r="AD31" s="206"/>
    </row>
    <row r="32" spans="1:30" s="268" customFormat="1" ht="16.5" customHeight="1" x14ac:dyDescent="0.3">
      <c r="A32" s="267"/>
      <c r="E32" s="272"/>
      <c r="F32" s="265"/>
      <c r="G32" s="273"/>
      <c r="H32" s="273"/>
      <c r="I32" s="273"/>
      <c r="J32" s="273"/>
      <c r="K32" s="273"/>
      <c r="L32" s="273"/>
      <c r="Q32" s="267"/>
      <c r="AC32" s="205"/>
      <c r="AD32" s="274"/>
    </row>
    <row r="33" spans="1:30" s="275" customFormat="1" ht="27.5" customHeight="1" x14ac:dyDescent="0.3">
      <c r="E33" s="276"/>
      <c r="F33" s="276"/>
      <c r="AC33" s="203"/>
      <c r="AD33" s="277"/>
    </row>
    <row r="34" spans="1:30" s="265" customFormat="1" ht="16.5" hidden="1" customHeight="1" x14ac:dyDescent="0.3">
      <c r="A34" s="275"/>
      <c r="E34" s="278"/>
      <c r="G34" s="273"/>
      <c r="H34" s="273"/>
      <c r="I34" s="273"/>
      <c r="J34" s="273"/>
      <c r="K34" s="273"/>
      <c r="L34" s="273"/>
      <c r="Q34" s="275"/>
      <c r="AC34" s="205"/>
      <c r="AD34" s="274"/>
    </row>
    <row r="35" spans="1:30" s="265" customFormat="1" hidden="1" x14ac:dyDescent="0.3">
      <c r="A35" s="275"/>
      <c r="E35" s="273"/>
      <c r="F35" s="273"/>
      <c r="Q35" s="275"/>
      <c r="AC35" s="205"/>
      <c r="AD35" s="274"/>
    </row>
    <row r="36" spans="1:30" s="265" customFormat="1" hidden="1" x14ac:dyDescent="0.3">
      <c r="A36" s="275"/>
      <c r="E36" s="272"/>
      <c r="G36" s="273"/>
      <c r="H36" s="273"/>
      <c r="I36" s="273"/>
      <c r="J36" s="273"/>
      <c r="K36" s="273"/>
      <c r="L36" s="273"/>
      <c r="Q36" s="275"/>
      <c r="AC36" s="205"/>
      <c r="AD36" s="274"/>
    </row>
    <row r="37" spans="1:30" s="265" customFormat="1" hidden="1" x14ac:dyDescent="0.3">
      <c r="A37" s="275"/>
      <c r="E37" s="273"/>
      <c r="F37" s="273"/>
      <c r="Q37" s="275"/>
      <c r="AC37" s="205"/>
      <c r="AD37" s="274"/>
    </row>
    <row r="38" spans="1:30" s="265" customFormat="1" hidden="1" x14ac:dyDescent="0.3">
      <c r="A38" s="275"/>
      <c r="G38" s="273"/>
      <c r="H38" s="273"/>
      <c r="I38" s="273"/>
      <c r="J38" s="273"/>
      <c r="K38" s="273"/>
      <c r="L38" s="273"/>
      <c r="Q38" s="275"/>
      <c r="AC38" s="205"/>
      <c r="AD38" s="274"/>
    </row>
    <row r="39" spans="1:30" s="265" customFormat="1" hidden="1" x14ac:dyDescent="0.3">
      <c r="A39" s="275"/>
      <c r="E39" s="205"/>
      <c r="F39" s="205"/>
      <c r="Q39" s="275"/>
      <c r="AC39" s="205"/>
      <c r="AD39" s="206"/>
    </row>
    <row r="40" spans="1:30" x14ac:dyDescent="0.3"/>
    <row r="41" spans="1:30" x14ac:dyDescent="0.3"/>
  </sheetData>
  <sheetProtection algorithmName="SHA-512" hashValue="VoPWQ8SC905jTJakgms5MKPUWRqszTX/7n9HT47u1MwsHBcfXI0r005XfYYKA+ctikJ8zwgCTJ921nr2goTWrQ==" saltValue="UEW9w/n5tIlgkp1n6lrKFg==" spinCount="100000" sheet="1" objects="1" scenarios="1"/>
  <protectedRanges>
    <protectedRange sqref="F18" name="Rango5"/>
    <protectedRange sqref="F19" name="Rango4"/>
    <protectedRange sqref="F15" name="Rango2"/>
    <protectedRange sqref="F20" name="Rango1"/>
    <protectedRange sqref="F17" name="Rango3"/>
  </protectedRanges>
  <mergeCells count="11">
    <mergeCell ref="U18:V18"/>
    <mergeCell ref="E23:L23"/>
    <mergeCell ref="E24:M24"/>
    <mergeCell ref="E25:L25"/>
    <mergeCell ref="E26:L26"/>
    <mergeCell ref="E27:L27"/>
    <mergeCell ref="D31:L31"/>
    <mergeCell ref="F9:K9"/>
    <mergeCell ref="E12:F12"/>
    <mergeCell ref="H12:I12"/>
    <mergeCell ref="K12:L12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0000000}">
          <x14:formula1>
            <xm:f>Listas!$B$3:$B$6</xm:f>
          </x14:formula1>
          <xm:sqref>F13</xm:sqref>
        </x14:dataValidation>
        <x14:dataValidation type="list" allowBlank="1" showInputMessage="1" showErrorMessage="1" xr:uid="{00000000-0002-0000-0300-000001000000}">
          <x14:formula1>
            <xm:f>IF(F13="vivienda VIS",Listas!$A$3:$A$27,IF(F13="vivienda NO VIS",Listas!$A$3:$A$27,IF(F13="Libre Inversión",Listas!$A$3:$A$7,IF(F13="Comercial",Listas!$A$3:$A$12))))</xm:f>
          </x14:formula1>
          <xm:sqref>F18</xm:sqref>
        </x14:dataValidation>
        <x14:dataValidation type="list" allowBlank="1" showInputMessage="1" showErrorMessage="1" xr:uid="{33EA32FE-AF10-4771-BF47-9B9BA937A637}">
          <x14:formula1>
            <xm:f>Listas!$C$3:$C$5</xm:f>
          </x14:formula1>
          <xm:sqref>F14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D318"/>
  <sheetViews>
    <sheetView showGridLines="0" showRowColHeaders="0" zoomScale="85" zoomScaleNormal="85" workbookViewId="0">
      <pane xSplit="6" ySplit="16" topLeftCell="G17" activePane="bottomRight" state="frozen"/>
      <selection activeCell="F1" sqref="F1"/>
      <selection pane="topRight" activeCell="G1" sqref="G1"/>
      <selection pane="bottomLeft" activeCell="F15" sqref="F15"/>
      <selection pane="bottomRight" activeCell="J6" sqref="J6"/>
    </sheetView>
  </sheetViews>
  <sheetFormatPr baseColWidth="10" defaultColWidth="0" defaultRowHeight="12" x14ac:dyDescent="0.3"/>
  <cols>
    <col min="1" max="1" width="10" style="201" hidden="1" customWidth="1"/>
    <col min="2" max="2" width="3" style="201" hidden="1" customWidth="1"/>
    <col min="3" max="3" width="10" style="201" hidden="1" customWidth="1"/>
    <col min="4" max="4" width="3" style="201" hidden="1" customWidth="1"/>
    <col min="5" max="5" width="10" style="201" hidden="1" customWidth="1"/>
    <col min="6" max="6" width="7.453125" style="201" hidden="1" customWidth="1"/>
    <col min="7" max="7" width="5.1796875" style="201" customWidth="1"/>
    <col min="8" max="8" width="4.54296875" style="202" customWidth="1"/>
    <col min="9" max="9" width="17.1796875" style="129" customWidth="1"/>
    <col min="10" max="10" width="12.81640625" style="129" bestFit="1" customWidth="1"/>
    <col min="11" max="11" width="9.81640625" style="129" bestFit="1" customWidth="1"/>
    <col min="12" max="12" width="11.54296875" style="129" bestFit="1" customWidth="1"/>
    <col min="13" max="13" width="9.6328125" style="129" bestFit="1" customWidth="1"/>
    <col min="14" max="14" width="9.81640625" style="129" hidden="1" customWidth="1"/>
    <col min="15" max="15" width="13.1796875" style="129" bestFit="1" customWidth="1"/>
    <col min="16" max="16" width="4.81640625" style="129" hidden="1" customWidth="1"/>
    <col min="17" max="17" width="11.54296875" style="129" bestFit="1" customWidth="1"/>
    <col min="18" max="18" width="11.54296875" style="201" hidden="1" customWidth="1"/>
    <col min="19" max="19" width="11.1796875" style="201" hidden="1" customWidth="1"/>
    <col min="20" max="20" width="10.54296875" style="201" hidden="1" customWidth="1"/>
    <col min="21" max="21" width="8.1796875" style="201" hidden="1" customWidth="1"/>
    <col min="22" max="22" width="16.54296875" style="201" hidden="1" customWidth="1"/>
    <col min="23" max="23" width="14.81640625" style="201" hidden="1" customWidth="1"/>
    <col min="24" max="24" width="5.81640625" style="201" hidden="1" customWidth="1"/>
    <col min="25" max="25" width="14" style="201" hidden="1" customWidth="1"/>
    <col min="26" max="26" width="6.81640625" style="201" hidden="1" customWidth="1"/>
    <col min="27" max="27" width="16.54296875" style="201" hidden="1" customWidth="1"/>
    <col min="28" max="29" width="0" style="201" hidden="1" customWidth="1"/>
    <col min="30" max="30" width="10.81640625" style="201" customWidth="1"/>
    <col min="31" max="16384" width="10.81640625" style="201" hidden="1"/>
  </cols>
  <sheetData>
    <row r="1" spans="6:27" s="130" customFormat="1" x14ac:dyDescent="0.3">
      <c r="F1" s="127"/>
      <c r="G1" s="127"/>
      <c r="H1" s="127"/>
      <c r="I1" s="128"/>
      <c r="J1" s="128"/>
      <c r="K1" s="128"/>
      <c r="L1" s="128"/>
      <c r="M1" s="128"/>
      <c r="N1" s="128"/>
      <c r="O1" s="128"/>
      <c r="P1" s="129"/>
      <c r="Q1" s="128"/>
    </row>
    <row r="2" spans="6:27" s="130" customFormat="1" ht="18.5" x14ac:dyDescent="0.45">
      <c r="H2" s="127"/>
      <c r="I2" s="131" t="s">
        <v>296</v>
      </c>
      <c r="J2" s="131"/>
      <c r="K2" s="131"/>
      <c r="L2" s="131"/>
      <c r="M2" s="131"/>
      <c r="N2" s="131"/>
      <c r="O2" s="131"/>
      <c r="P2" s="131"/>
      <c r="Q2" s="131"/>
    </row>
    <row r="3" spans="6:27" s="130" customFormat="1" x14ac:dyDescent="0.3">
      <c r="H3" s="127"/>
      <c r="I3" s="128"/>
      <c r="J3" s="128"/>
      <c r="K3" s="128"/>
      <c r="L3" s="128"/>
      <c r="M3" s="128"/>
      <c r="N3" s="128"/>
      <c r="O3" s="128"/>
      <c r="P3" s="129"/>
      <c r="Q3" s="128"/>
      <c r="AA3" s="132"/>
    </row>
    <row r="4" spans="6:27" s="130" customFormat="1" x14ac:dyDescent="0.3">
      <c r="H4" s="127"/>
      <c r="I4" s="133" t="s">
        <v>0</v>
      </c>
      <c r="J4" s="133"/>
      <c r="K4" s="134"/>
      <c r="L4" s="134"/>
      <c r="M4" s="134"/>
      <c r="N4" s="134"/>
      <c r="O4" s="134"/>
      <c r="P4" s="135"/>
      <c r="Q4" s="134"/>
      <c r="R4" s="136"/>
      <c r="S4" s="136"/>
      <c r="AA4" s="132"/>
    </row>
    <row r="5" spans="6:27" s="137" customFormat="1" x14ac:dyDescent="0.3">
      <c r="H5" s="138"/>
      <c r="I5" s="139" t="s">
        <v>272</v>
      </c>
      <c r="J5" s="140">
        <f>+'VTU HIPOTECARIO'!F15</f>
        <v>940279950</v>
      </c>
      <c r="K5" s="141"/>
      <c r="L5" s="134"/>
      <c r="M5" s="134"/>
      <c r="N5" s="134"/>
      <c r="O5" s="134"/>
      <c r="P5" s="135"/>
      <c r="Q5" s="134"/>
      <c r="R5" s="142"/>
      <c r="AA5" s="143"/>
    </row>
    <row r="6" spans="6:27" s="137" customFormat="1" x14ac:dyDescent="0.3">
      <c r="H6" s="138"/>
      <c r="I6" s="139" t="s">
        <v>305</v>
      </c>
      <c r="J6" s="140">
        <f>+'VTU HIPOTECARIO'!F17</f>
        <v>120000000</v>
      </c>
      <c r="K6" s="144"/>
      <c r="L6" s="134"/>
      <c r="M6" s="134"/>
      <c r="N6" s="134"/>
      <c r="O6" s="134"/>
      <c r="P6" s="135"/>
      <c r="Q6" s="141"/>
      <c r="R6" s="142"/>
      <c r="V6" s="145" t="s">
        <v>105</v>
      </c>
      <c r="W6" s="146">
        <f>SUM(K19:K318)</f>
        <v>120000000.00000018</v>
      </c>
      <c r="X6" s="147"/>
      <c r="Y6" s="143"/>
    </row>
    <row r="7" spans="6:27" s="137" customFormat="1" x14ac:dyDescent="0.3">
      <c r="H7" s="138"/>
      <c r="I7" s="139" t="s">
        <v>91</v>
      </c>
      <c r="J7" s="148">
        <f>+'VTU HIPOTECARIO'!F18*12</f>
        <v>300</v>
      </c>
      <c r="K7" s="134"/>
      <c r="L7" s="134"/>
      <c r="M7" s="149"/>
      <c r="N7" s="149"/>
      <c r="O7" s="149"/>
      <c r="P7" s="150"/>
      <c r="Q7" s="151"/>
      <c r="R7" s="142"/>
      <c r="V7" s="152" t="s">
        <v>276</v>
      </c>
      <c r="W7" s="146">
        <f>SUM(J19:J318)</f>
        <v>290520299.68710452</v>
      </c>
      <c r="X7" s="147"/>
      <c r="Y7" s="143"/>
    </row>
    <row r="8" spans="6:27" s="137" customFormat="1" x14ac:dyDescent="0.3">
      <c r="H8" s="138"/>
      <c r="I8" s="139" t="s">
        <v>274</v>
      </c>
      <c r="J8" s="153">
        <f>+'VTU HIPOTECARIO'!F19</f>
        <v>0.1399</v>
      </c>
      <c r="K8" s="134"/>
      <c r="L8" s="134"/>
      <c r="M8" s="149"/>
      <c r="N8" s="154"/>
      <c r="O8" s="154"/>
      <c r="P8" s="155"/>
      <c r="Q8" s="156">
        <f>+IRR(Q18:Q318)</f>
        <v>1.296061567867457E-2</v>
      </c>
      <c r="R8" s="157"/>
      <c r="S8" s="157"/>
      <c r="T8" s="158"/>
      <c r="U8" s="158"/>
      <c r="V8" s="152" t="s">
        <v>277</v>
      </c>
      <c r="W8" s="159">
        <f>-SUM(M19:M318,O19:O318)</f>
        <v>63025996.50669618</v>
      </c>
      <c r="X8" s="160"/>
      <c r="Y8" s="161"/>
    </row>
    <row r="9" spans="6:27" s="137" customFormat="1" x14ac:dyDescent="0.3">
      <c r="H9" s="138"/>
      <c r="I9" s="139" t="s">
        <v>273</v>
      </c>
      <c r="J9" s="162">
        <f>+(1+J8)^(0.0833333333333333)-1</f>
        <v>1.0971461456750209E-2</v>
      </c>
      <c r="K9" s="134"/>
      <c r="L9" s="163"/>
      <c r="M9" s="149"/>
      <c r="N9" s="149"/>
      <c r="O9" s="154"/>
      <c r="P9" s="155"/>
      <c r="Q9" s="149"/>
      <c r="R9" s="164"/>
      <c r="S9" s="158"/>
      <c r="T9" s="158"/>
      <c r="U9" s="158"/>
      <c r="V9" s="152" t="s">
        <v>278</v>
      </c>
      <c r="W9" s="159">
        <f>+SUM(W6:W8)</f>
        <v>473546296.19380087</v>
      </c>
      <c r="X9" s="158"/>
      <c r="Y9" s="161"/>
    </row>
    <row r="10" spans="6:27" s="137" customFormat="1" x14ac:dyDescent="0.3">
      <c r="H10" s="138"/>
      <c r="I10" s="165" t="s">
        <v>308</v>
      </c>
      <c r="J10" s="166">
        <v>4.5199999999999998E-4</v>
      </c>
      <c r="K10" s="134"/>
      <c r="L10" s="134"/>
      <c r="M10" s="149"/>
      <c r="N10" s="149"/>
      <c r="O10" s="149"/>
      <c r="P10" s="149"/>
      <c r="Q10" s="149"/>
      <c r="R10" s="158"/>
      <c r="S10" s="158"/>
      <c r="T10" s="158"/>
      <c r="U10" s="158"/>
      <c r="V10" s="152" t="s">
        <v>98</v>
      </c>
      <c r="W10" s="167">
        <f>+(1+Q8)^(12)-1</f>
        <v>0.16710712860386723</v>
      </c>
      <c r="X10" s="158"/>
      <c r="Y10" s="158"/>
      <c r="Z10" s="158"/>
      <c r="AA10" s="161"/>
    </row>
    <row r="11" spans="6:27" s="137" customFormat="1" x14ac:dyDescent="0.3">
      <c r="H11" s="138"/>
      <c r="I11" s="165" t="s">
        <v>208</v>
      </c>
      <c r="J11" s="166">
        <v>1.8100000000000001E-4</v>
      </c>
      <c r="K11" s="134"/>
      <c r="L11" s="168"/>
      <c r="M11" s="149"/>
      <c r="N11" s="149"/>
      <c r="O11" s="149"/>
      <c r="P11" s="149"/>
      <c r="Q11" s="149"/>
      <c r="R11" s="158"/>
      <c r="S11" s="158"/>
      <c r="T11" s="158"/>
      <c r="U11" s="158"/>
      <c r="V11" s="158"/>
      <c r="W11" s="158"/>
      <c r="X11" s="158"/>
      <c r="Y11" s="158"/>
      <c r="Z11" s="158"/>
      <c r="AA11" s="161"/>
    </row>
    <row r="12" spans="6:27" s="137" customFormat="1" x14ac:dyDescent="0.3">
      <c r="H12" s="138"/>
      <c r="I12" s="139" t="s">
        <v>210</v>
      </c>
      <c r="J12" s="169">
        <f>+'VTU HIPOTECARIO'!F20</f>
        <v>35750</v>
      </c>
      <c r="K12" s="134"/>
      <c r="L12" s="134"/>
      <c r="M12" s="149"/>
      <c r="N12" s="149"/>
      <c r="O12" s="149"/>
      <c r="P12" s="149"/>
      <c r="Q12" s="149"/>
      <c r="R12" s="158"/>
      <c r="S12" s="158"/>
      <c r="T12" s="158"/>
      <c r="U12" s="158"/>
      <c r="V12" s="158"/>
      <c r="W12" s="158"/>
      <c r="X12" s="158"/>
      <c r="Y12" s="158"/>
      <c r="Z12" s="158"/>
      <c r="AA12" s="161"/>
    </row>
    <row r="13" spans="6:27" s="137" customFormat="1" x14ac:dyDescent="0.3">
      <c r="H13" s="138"/>
      <c r="I13" s="170"/>
      <c r="J13" s="171"/>
      <c r="K13" s="172"/>
      <c r="L13" s="134"/>
      <c r="M13" s="149"/>
      <c r="N13" s="149"/>
      <c r="O13" s="149"/>
      <c r="P13" s="150"/>
      <c r="Q13" s="173"/>
      <c r="R13" s="158"/>
      <c r="S13" s="158"/>
      <c r="T13" s="158"/>
      <c r="U13" s="158"/>
      <c r="V13" s="158"/>
      <c r="W13" s="164"/>
      <c r="X13" s="158"/>
      <c r="Y13" s="158"/>
      <c r="Z13" s="158"/>
      <c r="AA13" s="161"/>
    </row>
    <row r="14" spans="6:27" s="137" customFormat="1" x14ac:dyDescent="0.3">
      <c r="H14" s="138"/>
      <c r="I14" s="139" t="s">
        <v>275</v>
      </c>
      <c r="J14" s="174">
        <f ca="1">+TODAY()</f>
        <v>45537</v>
      </c>
      <c r="K14" s="134"/>
      <c r="L14" s="134"/>
      <c r="M14" s="173">
        <f>SUM(M19:M318)*-1</f>
        <v>11968795.221695757</v>
      </c>
      <c r="N14" s="173" t="e">
        <f ca="1">SUM(N19:N258)*-1</f>
        <v>#REF!</v>
      </c>
      <c r="O14" s="175">
        <f>SUM(O19:O318)*-1</f>
        <v>51057201.285000198</v>
      </c>
      <c r="P14" s="176"/>
      <c r="Q14" s="175" t="e">
        <f ca="1">N14+O14</f>
        <v>#REF!</v>
      </c>
      <c r="R14" s="177"/>
      <c r="S14" s="158"/>
      <c r="T14" s="158"/>
      <c r="U14" s="158"/>
      <c r="V14" s="158"/>
      <c r="W14" s="164"/>
      <c r="X14" s="158"/>
      <c r="Y14" s="158"/>
      <c r="Z14" s="158"/>
      <c r="AA14" s="161"/>
    </row>
    <row r="15" spans="6:27" s="130" customFormat="1" x14ac:dyDescent="0.3">
      <c r="H15" s="127"/>
      <c r="I15" s="128"/>
      <c r="J15" s="178"/>
      <c r="K15" s="128"/>
      <c r="L15" s="128"/>
      <c r="M15" s="149" t="s">
        <v>309</v>
      </c>
      <c r="N15" s="149" t="s">
        <v>310</v>
      </c>
      <c r="O15" s="149"/>
      <c r="P15" s="150"/>
      <c r="Q15" s="149"/>
      <c r="W15" s="136"/>
      <c r="AA15" s="132"/>
    </row>
    <row r="16" spans="6:27" s="179" customFormat="1" ht="24" x14ac:dyDescent="0.3">
      <c r="H16" s="180" t="s">
        <v>295</v>
      </c>
      <c r="I16" s="180" t="s">
        <v>281</v>
      </c>
      <c r="J16" s="180" t="s">
        <v>279</v>
      </c>
      <c r="K16" s="180" t="s">
        <v>105</v>
      </c>
      <c r="L16" s="180" t="s">
        <v>5</v>
      </c>
      <c r="M16" s="180" t="s">
        <v>209</v>
      </c>
      <c r="N16" s="180" t="s">
        <v>209</v>
      </c>
      <c r="O16" s="180" t="s">
        <v>280</v>
      </c>
      <c r="P16" s="181"/>
      <c r="Q16" s="180" t="s">
        <v>2</v>
      </c>
    </row>
    <row r="17" spans="1:27" s="130" customFormat="1" x14ac:dyDescent="0.3">
      <c r="B17" s="182" t="s">
        <v>211</v>
      </c>
      <c r="C17" s="182"/>
      <c r="D17" s="182"/>
      <c r="E17" s="182"/>
      <c r="F17" s="183"/>
      <c r="G17" s="183"/>
      <c r="H17" s="184"/>
      <c r="I17" s="185"/>
      <c r="J17" s="185"/>
      <c r="K17" s="185"/>
      <c r="L17" s="186"/>
      <c r="M17" s="185"/>
      <c r="N17" s="185"/>
      <c r="O17" s="185"/>
      <c r="P17" s="187"/>
      <c r="Q17" s="185"/>
      <c r="W17" s="183"/>
      <c r="AA17" s="188"/>
    </row>
    <row r="18" spans="1:27" s="130" customFormat="1" x14ac:dyDescent="0.3">
      <c r="A18" s="189">
        <f ca="1">+DATE(YEAR($J$14)-1,MONTH(J12),DAY(J12))</f>
        <v>45246</v>
      </c>
      <c r="B18" s="190">
        <f ca="1">+YEAR(A18)-YEAR(J12)</f>
        <v>26</v>
      </c>
      <c r="C18" s="190"/>
      <c r="D18" s="190"/>
      <c r="F18" s="191">
        <v>0</v>
      </c>
      <c r="G18" s="191"/>
      <c r="H18" s="192"/>
      <c r="I18" s="193">
        <v>0</v>
      </c>
      <c r="J18" s="194"/>
      <c r="K18" s="186"/>
      <c r="L18" s="186">
        <f>+J6</f>
        <v>120000000</v>
      </c>
      <c r="M18" s="194"/>
      <c r="N18" s="194"/>
      <c r="O18" s="194"/>
      <c r="P18" s="195">
        <v>0</v>
      </c>
      <c r="Q18" s="194">
        <f>+L18</f>
        <v>120000000</v>
      </c>
      <c r="R18" s="136"/>
      <c r="S18" s="136"/>
      <c r="T18" s="136"/>
      <c r="V18" s="136"/>
      <c r="W18" s="183"/>
      <c r="X18" s="196"/>
      <c r="Y18" s="188"/>
      <c r="Z18" s="136"/>
      <c r="AA18" s="188"/>
    </row>
    <row r="19" spans="1:27" s="130" customFormat="1" x14ac:dyDescent="0.3">
      <c r="A19" s="189">
        <f ca="1">+EDATE(A18,12)</f>
        <v>45612</v>
      </c>
      <c r="B19" s="190">
        <f ca="1">+YEAR(A19)-YEAR(A18)+B18</f>
        <v>27</v>
      </c>
      <c r="C19" s="189">
        <f ca="1">+VLOOKUP(E19,$A$18:$B$42,1,1)</f>
        <v>45246</v>
      </c>
      <c r="D19" s="190">
        <f ca="1">+VLOOKUP(C19,$A$18:$B$42,2,0)</f>
        <v>26</v>
      </c>
      <c r="E19" s="189">
        <f ca="1">+J14</f>
        <v>45537</v>
      </c>
      <c r="F19" s="183" t="s">
        <v>6</v>
      </c>
      <c r="G19" s="183"/>
      <c r="H19" s="186">
        <f>P19</f>
        <v>1</v>
      </c>
      <c r="I19" s="197">
        <f>+PMT(J9,J7,J6)</f>
        <v>-1368400.9989570146</v>
      </c>
      <c r="J19" s="194">
        <f t="shared" ref="J19:J82" si="0">+IF(L18&gt;0,L18*$J$9,0)</f>
        <v>1316575.3748100251</v>
      </c>
      <c r="K19" s="186">
        <f>+IF(L18&gt;0,-I19-J19,0)</f>
        <v>51825.624146989547</v>
      </c>
      <c r="L19" s="186">
        <f t="shared" ref="L19:L82" si="1">+L18-K19</f>
        <v>119948174.37585302</v>
      </c>
      <c r="M19" s="194">
        <f>-L18*$J$10</f>
        <v>-54240</v>
      </c>
      <c r="N19" s="194" t="e">
        <f ca="1">+-VLOOKUP(D19,#REF!,3,0)*L18</f>
        <v>#REF!</v>
      </c>
      <c r="O19" s="194">
        <f>-J5*$J$11</f>
        <v>-170190.67095</v>
      </c>
      <c r="P19" s="195">
        <v>1</v>
      </c>
      <c r="Q19" s="198">
        <f t="shared" ref="Q19:Q82" si="2">+I19+M19+O19</f>
        <v>-1592831.6699070146</v>
      </c>
      <c r="T19" s="188"/>
      <c r="V19" s="188"/>
      <c r="W19" s="183"/>
      <c r="X19" s="196"/>
      <c r="Y19" s="188"/>
      <c r="Z19" s="136"/>
      <c r="AA19" s="188"/>
    </row>
    <row r="20" spans="1:27" s="130" customFormat="1" x14ac:dyDescent="0.3">
      <c r="A20" s="189">
        <f t="shared" ref="A20:A42" ca="1" si="3">+EDATE(A19,12)</f>
        <v>45977</v>
      </c>
      <c r="B20" s="190">
        <f t="shared" ref="B20:B42" ca="1" si="4">+YEAR(A20)-YEAR(A19)+B19</f>
        <v>28</v>
      </c>
      <c r="C20" s="189">
        <f t="shared" ref="C20:C83" ca="1" si="5">+VLOOKUP(E20,$A$18:$B$42,1,1)</f>
        <v>45246</v>
      </c>
      <c r="D20" s="190">
        <f t="shared" ref="D20:D83" ca="1" si="6">+VLOOKUP(C20,$A$18:$B$42,2,0)</f>
        <v>26</v>
      </c>
      <c r="E20" s="189">
        <f ca="1">+EDATE(E19,1)</f>
        <v>45567</v>
      </c>
      <c r="F20" s="183" t="s">
        <v>7</v>
      </c>
      <c r="G20" s="183"/>
      <c r="H20" s="186">
        <f t="shared" ref="H20:H83" si="7">P20</f>
        <v>2</v>
      </c>
      <c r="I20" s="197">
        <f>+IF(L19&gt;0.1,I19,0)</f>
        <v>-1368400.9989570146</v>
      </c>
      <c r="J20" s="194">
        <f t="shared" si="0"/>
        <v>1316006.7719722243</v>
      </c>
      <c r="K20" s="186">
        <f t="shared" ref="K20:K83" si="8">+IF(L19&gt;0,-I20-J20,0)</f>
        <v>52394.226984790293</v>
      </c>
      <c r="L20" s="186">
        <f t="shared" si="1"/>
        <v>119895780.14886823</v>
      </c>
      <c r="M20" s="194">
        <f>IF(H19&lt;=$J$7,(-L19*$J$10),0)</f>
        <v>-54216.574817885565</v>
      </c>
      <c r="N20" s="194" t="e">
        <f ca="1">+-VLOOKUP(D20,#REF!,3,0)*L19</f>
        <v>#REF!</v>
      </c>
      <c r="O20" s="194">
        <f>IF(H19&lt;=$J$7,(-$J$5*$J$11),0)</f>
        <v>-170190.67095</v>
      </c>
      <c r="P20" s="195">
        <f>+P19+1</f>
        <v>2</v>
      </c>
      <c r="Q20" s="198">
        <f t="shared" si="2"/>
        <v>-1592808.2447249002</v>
      </c>
      <c r="V20" s="188"/>
      <c r="W20" s="183"/>
      <c r="X20" s="196"/>
      <c r="Y20" s="188"/>
      <c r="Z20" s="136"/>
      <c r="AA20" s="188"/>
    </row>
    <row r="21" spans="1:27" s="130" customFormat="1" x14ac:dyDescent="0.3">
      <c r="A21" s="189">
        <f t="shared" ca="1" si="3"/>
        <v>46342</v>
      </c>
      <c r="B21" s="190">
        <f t="shared" ca="1" si="4"/>
        <v>29</v>
      </c>
      <c r="C21" s="189">
        <f t="shared" ca="1" si="5"/>
        <v>45246</v>
      </c>
      <c r="D21" s="190">
        <f t="shared" ca="1" si="6"/>
        <v>26</v>
      </c>
      <c r="E21" s="189">
        <f t="shared" ref="E21:E84" ca="1" si="9">+EDATE(E20,1)</f>
        <v>45598</v>
      </c>
      <c r="F21" s="183" t="s">
        <v>8</v>
      </c>
      <c r="G21" s="183"/>
      <c r="H21" s="186">
        <f t="shared" si="7"/>
        <v>3</v>
      </c>
      <c r="I21" s="197">
        <f t="shared" ref="I21:I84" si="10">+IF(L20&gt;0.1,I20,0)</f>
        <v>-1368400.9989570146</v>
      </c>
      <c r="J21" s="194">
        <f t="shared" si="0"/>
        <v>1315431.9307303047</v>
      </c>
      <c r="K21" s="186">
        <f t="shared" si="8"/>
        <v>52969.068226709962</v>
      </c>
      <c r="L21" s="186">
        <f t="shared" si="1"/>
        <v>119842811.08064152</v>
      </c>
      <c r="M21" s="194">
        <f t="shared" ref="M21:M84" si="11">IF(H20&lt;=$J$7,(-L20*$J$10),0)</f>
        <v>-54192.892627288442</v>
      </c>
      <c r="N21" s="194" t="e">
        <f ca="1">+-VLOOKUP(D21,#REF!,3,0)*L20</f>
        <v>#REF!</v>
      </c>
      <c r="O21" s="194">
        <f t="shared" ref="O21:O84" si="12">IF(H20&lt;=$J$7,(-$J$5*$J$11),0)</f>
        <v>-170190.67095</v>
      </c>
      <c r="P21" s="195">
        <f t="shared" ref="P21:P84" si="13">+P20+1</f>
        <v>3</v>
      </c>
      <c r="Q21" s="198">
        <f t="shared" si="2"/>
        <v>-1592784.5625343029</v>
      </c>
      <c r="V21" s="188"/>
      <c r="W21" s="183"/>
      <c r="X21" s="196"/>
      <c r="Y21" s="188"/>
      <c r="Z21" s="136"/>
      <c r="AA21" s="188"/>
    </row>
    <row r="22" spans="1:27" s="130" customFormat="1" x14ac:dyDescent="0.3">
      <c r="A22" s="189">
        <f t="shared" ca="1" si="3"/>
        <v>46707</v>
      </c>
      <c r="B22" s="190">
        <f t="shared" ca="1" si="4"/>
        <v>30</v>
      </c>
      <c r="C22" s="189">
        <f t="shared" ca="1" si="5"/>
        <v>45612</v>
      </c>
      <c r="D22" s="190">
        <f t="shared" ca="1" si="6"/>
        <v>27</v>
      </c>
      <c r="E22" s="189">
        <f t="shared" ca="1" si="9"/>
        <v>45628</v>
      </c>
      <c r="F22" s="183" t="s">
        <v>9</v>
      </c>
      <c r="G22" s="183"/>
      <c r="H22" s="186">
        <f t="shared" si="7"/>
        <v>4</v>
      </c>
      <c r="I22" s="197">
        <f t="shared" si="10"/>
        <v>-1368400.9989570146</v>
      </c>
      <c r="J22" s="194">
        <f t="shared" si="0"/>
        <v>1314850.7826398553</v>
      </c>
      <c r="K22" s="186">
        <f t="shared" si="8"/>
        <v>53550.216317159357</v>
      </c>
      <c r="L22" s="186">
        <f t="shared" si="1"/>
        <v>119789260.86432436</v>
      </c>
      <c r="M22" s="194">
        <f t="shared" si="11"/>
        <v>-54168.950608449966</v>
      </c>
      <c r="N22" s="194" t="e">
        <f ca="1">+-VLOOKUP(D22,#REF!,3,0)*L21</f>
        <v>#REF!</v>
      </c>
      <c r="O22" s="194">
        <f t="shared" si="12"/>
        <v>-170190.67095</v>
      </c>
      <c r="P22" s="195">
        <f t="shared" si="13"/>
        <v>4</v>
      </c>
      <c r="Q22" s="198">
        <f t="shared" si="2"/>
        <v>-1592760.6205154646</v>
      </c>
      <c r="W22" s="183"/>
      <c r="X22" s="196"/>
      <c r="Y22" s="188"/>
      <c r="Z22" s="136"/>
      <c r="AA22" s="188"/>
    </row>
    <row r="23" spans="1:27" s="130" customFormat="1" x14ac:dyDescent="0.3">
      <c r="A23" s="189">
        <f t="shared" ca="1" si="3"/>
        <v>47073</v>
      </c>
      <c r="B23" s="190">
        <f t="shared" ca="1" si="4"/>
        <v>31</v>
      </c>
      <c r="C23" s="189">
        <f t="shared" ca="1" si="5"/>
        <v>45612</v>
      </c>
      <c r="D23" s="190">
        <f t="shared" ca="1" si="6"/>
        <v>27</v>
      </c>
      <c r="E23" s="189">
        <f t="shared" ca="1" si="9"/>
        <v>45659</v>
      </c>
      <c r="F23" s="183" t="s">
        <v>10</v>
      </c>
      <c r="G23" s="183"/>
      <c r="H23" s="186">
        <f t="shared" si="7"/>
        <v>5</v>
      </c>
      <c r="I23" s="197">
        <f t="shared" si="10"/>
        <v>-1368400.9989570146</v>
      </c>
      <c r="J23" s="194">
        <f t="shared" si="0"/>
        <v>1314263.2585055309</v>
      </c>
      <c r="K23" s="186">
        <f t="shared" si="8"/>
        <v>54137.740451483754</v>
      </c>
      <c r="L23" s="186">
        <f t="shared" si="1"/>
        <v>119735123.12387288</v>
      </c>
      <c r="M23" s="194">
        <f t="shared" si="11"/>
        <v>-54144.74591067461</v>
      </c>
      <c r="N23" s="194" t="e">
        <f ca="1">+-VLOOKUP(D23,#REF!,3,0)*L22</f>
        <v>#REF!</v>
      </c>
      <c r="O23" s="194">
        <f t="shared" si="12"/>
        <v>-170190.67095</v>
      </c>
      <c r="P23" s="195">
        <f t="shared" si="13"/>
        <v>5</v>
      </c>
      <c r="Q23" s="198">
        <f t="shared" si="2"/>
        <v>-1592736.4158176892</v>
      </c>
      <c r="W23" s="183"/>
      <c r="X23" s="196"/>
      <c r="Y23" s="188"/>
      <c r="Z23" s="136"/>
      <c r="AA23" s="188"/>
    </row>
    <row r="24" spans="1:27" s="130" customFormat="1" x14ac:dyDescent="0.3">
      <c r="A24" s="189">
        <f t="shared" ca="1" si="3"/>
        <v>47438</v>
      </c>
      <c r="B24" s="190">
        <f t="shared" ca="1" si="4"/>
        <v>32</v>
      </c>
      <c r="C24" s="189">
        <f t="shared" ca="1" si="5"/>
        <v>45612</v>
      </c>
      <c r="D24" s="190">
        <f t="shared" ca="1" si="6"/>
        <v>27</v>
      </c>
      <c r="E24" s="189">
        <f t="shared" ca="1" si="9"/>
        <v>45690</v>
      </c>
      <c r="F24" s="183" t="s">
        <v>11</v>
      </c>
      <c r="G24" s="183"/>
      <c r="H24" s="186">
        <f t="shared" si="7"/>
        <v>6</v>
      </c>
      <c r="I24" s="197">
        <f t="shared" si="10"/>
        <v>-1368400.9989570146</v>
      </c>
      <c r="J24" s="194">
        <f t="shared" si="0"/>
        <v>1313669.2883728119</v>
      </c>
      <c r="K24" s="186">
        <f t="shared" si="8"/>
        <v>54731.710584202781</v>
      </c>
      <c r="L24" s="186">
        <f t="shared" si="1"/>
        <v>119680391.41328867</v>
      </c>
      <c r="M24" s="194">
        <f t="shared" si="11"/>
        <v>-54120.275651990538</v>
      </c>
      <c r="N24" s="194" t="e">
        <f ca="1">+-VLOOKUP(D24,#REF!,3,0)*L23</f>
        <v>#REF!</v>
      </c>
      <c r="O24" s="194">
        <f t="shared" si="12"/>
        <v>-170190.67095</v>
      </c>
      <c r="P24" s="195">
        <f t="shared" si="13"/>
        <v>6</v>
      </c>
      <c r="Q24" s="198">
        <f t="shared" si="2"/>
        <v>-1592711.945559005</v>
      </c>
      <c r="R24" s="136"/>
      <c r="W24" s="183"/>
      <c r="X24" s="196"/>
      <c r="Y24" s="188"/>
      <c r="Z24" s="136"/>
      <c r="AA24" s="188"/>
    </row>
    <row r="25" spans="1:27" s="130" customFormat="1" x14ac:dyDescent="0.3">
      <c r="A25" s="189">
        <f t="shared" ca="1" si="3"/>
        <v>47803</v>
      </c>
      <c r="B25" s="190">
        <f t="shared" ca="1" si="4"/>
        <v>33</v>
      </c>
      <c r="C25" s="189">
        <f t="shared" ca="1" si="5"/>
        <v>45612</v>
      </c>
      <c r="D25" s="190">
        <f t="shared" ca="1" si="6"/>
        <v>27</v>
      </c>
      <c r="E25" s="189">
        <f t="shared" ca="1" si="9"/>
        <v>45718</v>
      </c>
      <c r="F25" s="183" t="s">
        <v>12</v>
      </c>
      <c r="G25" s="183"/>
      <c r="H25" s="186">
        <f t="shared" si="7"/>
        <v>7</v>
      </c>
      <c r="I25" s="197">
        <f t="shared" si="10"/>
        <v>-1368400.9989570146</v>
      </c>
      <c r="J25" s="194">
        <f t="shared" si="0"/>
        <v>1313068.8015196752</v>
      </c>
      <c r="K25" s="186">
        <f t="shared" si="8"/>
        <v>55332.197437339462</v>
      </c>
      <c r="L25" s="186">
        <f t="shared" si="1"/>
        <v>119625059.21585132</v>
      </c>
      <c r="M25" s="194">
        <f t="shared" si="11"/>
        <v>-54095.536918806472</v>
      </c>
      <c r="N25" s="194" t="e">
        <f ca="1">+-VLOOKUP(D25,#REF!,3,0)*L24</f>
        <v>#REF!</v>
      </c>
      <c r="O25" s="194">
        <f t="shared" si="12"/>
        <v>-170190.67095</v>
      </c>
      <c r="P25" s="195">
        <f t="shared" si="13"/>
        <v>7</v>
      </c>
      <c r="Q25" s="198">
        <f t="shared" si="2"/>
        <v>-1592687.206825821</v>
      </c>
      <c r="R25" s="136"/>
      <c r="W25" s="183"/>
      <c r="X25" s="196"/>
      <c r="Y25" s="188"/>
      <c r="Z25" s="136"/>
      <c r="AA25" s="188"/>
    </row>
    <row r="26" spans="1:27" s="130" customFormat="1" x14ac:dyDescent="0.3">
      <c r="A26" s="189">
        <f t="shared" ca="1" si="3"/>
        <v>48168</v>
      </c>
      <c r="B26" s="190">
        <f t="shared" ca="1" si="4"/>
        <v>34</v>
      </c>
      <c r="C26" s="189">
        <f t="shared" ca="1" si="5"/>
        <v>45612</v>
      </c>
      <c r="D26" s="190">
        <f t="shared" ca="1" si="6"/>
        <v>27</v>
      </c>
      <c r="E26" s="189">
        <f t="shared" ca="1" si="9"/>
        <v>45749</v>
      </c>
      <c r="F26" s="183" t="s">
        <v>13</v>
      </c>
      <c r="G26" s="183"/>
      <c r="H26" s="186">
        <f t="shared" si="7"/>
        <v>8</v>
      </c>
      <c r="I26" s="197">
        <f t="shared" si="10"/>
        <v>-1368400.9989570146</v>
      </c>
      <c r="J26" s="194">
        <f t="shared" si="0"/>
        <v>1312461.7264481741</v>
      </c>
      <c r="K26" s="186">
        <f t="shared" si="8"/>
        <v>55939.272508840542</v>
      </c>
      <c r="L26" s="186">
        <f t="shared" si="1"/>
        <v>119569119.94334248</v>
      </c>
      <c r="M26" s="194">
        <f t="shared" si="11"/>
        <v>-54070.526765564799</v>
      </c>
      <c r="N26" s="194" t="e">
        <f ca="1">+-VLOOKUP(D26,#REF!,3,0)*L25</f>
        <v>#REF!</v>
      </c>
      <c r="O26" s="194">
        <f t="shared" si="12"/>
        <v>-170190.67095</v>
      </c>
      <c r="P26" s="195">
        <f t="shared" si="13"/>
        <v>8</v>
      </c>
      <c r="Q26" s="198">
        <f t="shared" si="2"/>
        <v>-1592662.1966725793</v>
      </c>
      <c r="R26" s="136"/>
      <c r="W26" s="183"/>
      <c r="X26" s="196"/>
      <c r="Y26" s="188"/>
      <c r="Z26" s="136"/>
      <c r="AA26" s="188"/>
    </row>
    <row r="27" spans="1:27" s="130" customFormat="1" x14ac:dyDescent="0.3">
      <c r="A27" s="189">
        <f t="shared" ca="1" si="3"/>
        <v>48534</v>
      </c>
      <c r="B27" s="190">
        <f t="shared" ca="1" si="4"/>
        <v>35</v>
      </c>
      <c r="C27" s="189">
        <f t="shared" ca="1" si="5"/>
        <v>45612</v>
      </c>
      <c r="D27" s="190">
        <f t="shared" ca="1" si="6"/>
        <v>27</v>
      </c>
      <c r="E27" s="189">
        <f t="shared" ca="1" si="9"/>
        <v>45779</v>
      </c>
      <c r="F27" s="183" t="s">
        <v>14</v>
      </c>
      <c r="G27" s="183"/>
      <c r="H27" s="186">
        <f t="shared" si="7"/>
        <v>9</v>
      </c>
      <c r="I27" s="197">
        <f t="shared" si="10"/>
        <v>-1368400.9989570146</v>
      </c>
      <c r="J27" s="194">
        <f t="shared" si="0"/>
        <v>1311847.9908759247</v>
      </c>
      <c r="K27" s="186">
        <f t="shared" si="8"/>
        <v>56553.008081089938</v>
      </c>
      <c r="L27" s="186">
        <f t="shared" si="1"/>
        <v>119512566.93526138</v>
      </c>
      <c r="M27" s="194">
        <f t="shared" si="11"/>
        <v>-54045.242214390797</v>
      </c>
      <c r="N27" s="194" t="e">
        <f ca="1">+-VLOOKUP(D27,#REF!,3,0)*L26</f>
        <v>#REF!</v>
      </c>
      <c r="O27" s="194">
        <f t="shared" si="12"/>
        <v>-170190.67095</v>
      </c>
      <c r="P27" s="195">
        <f t="shared" si="13"/>
        <v>9</v>
      </c>
      <c r="Q27" s="198">
        <f t="shared" si="2"/>
        <v>-1592636.9121214054</v>
      </c>
      <c r="R27" s="183"/>
      <c r="X27" s="196"/>
      <c r="Y27" s="188"/>
      <c r="Z27" s="136"/>
      <c r="AA27" s="188"/>
    </row>
    <row r="28" spans="1:27" s="130" customFormat="1" x14ac:dyDescent="0.3">
      <c r="A28" s="189">
        <f t="shared" ca="1" si="3"/>
        <v>48899</v>
      </c>
      <c r="B28" s="190">
        <f t="shared" ca="1" si="4"/>
        <v>36</v>
      </c>
      <c r="C28" s="189">
        <f t="shared" ca="1" si="5"/>
        <v>45612</v>
      </c>
      <c r="D28" s="190">
        <f t="shared" ca="1" si="6"/>
        <v>27</v>
      </c>
      <c r="E28" s="189">
        <f t="shared" ca="1" si="9"/>
        <v>45810</v>
      </c>
      <c r="F28" s="183" t="s">
        <v>15</v>
      </c>
      <c r="G28" s="183"/>
      <c r="H28" s="186">
        <f t="shared" si="7"/>
        <v>10</v>
      </c>
      <c r="I28" s="197">
        <f t="shared" si="10"/>
        <v>-1368400.9989570146</v>
      </c>
      <c r="J28" s="194">
        <f t="shared" si="0"/>
        <v>1311227.5217274998</v>
      </c>
      <c r="K28" s="186">
        <f t="shared" si="8"/>
        <v>57173.477229514858</v>
      </c>
      <c r="L28" s="186">
        <f t="shared" si="1"/>
        <v>119455393.45803186</v>
      </c>
      <c r="M28" s="194">
        <f t="shared" si="11"/>
        <v>-54019.680254738145</v>
      </c>
      <c r="N28" s="194" t="e">
        <f ca="1">+-VLOOKUP(D28,#REF!,3,0)*L27</f>
        <v>#REF!</v>
      </c>
      <c r="O28" s="194">
        <f t="shared" si="12"/>
        <v>-170190.67095</v>
      </c>
      <c r="P28" s="195">
        <f t="shared" si="13"/>
        <v>10</v>
      </c>
      <c r="Q28" s="198">
        <f t="shared" si="2"/>
        <v>-1592611.3501617527</v>
      </c>
      <c r="R28" s="136"/>
      <c r="W28" s="183"/>
      <c r="X28" s="196"/>
      <c r="Y28" s="188"/>
      <c r="Z28" s="136"/>
      <c r="AA28" s="188"/>
    </row>
    <row r="29" spans="1:27" s="130" customFormat="1" x14ac:dyDescent="0.3">
      <c r="A29" s="189">
        <f t="shared" ca="1" si="3"/>
        <v>49264</v>
      </c>
      <c r="B29" s="190">
        <f t="shared" ca="1" si="4"/>
        <v>37</v>
      </c>
      <c r="C29" s="189">
        <f t="shared" ca="1" si="5"/>
        <v>45612</v>
      </c>
      <c r="D29" s="190">
        <f t="shared" ca="1" si="6"/>
        <v>27</v>
      </c>
      <c r="E29" s="189">
        <f t="shared" ca="1" si="9"/>
        <v>45840</v>
      </c>
      <c r="F29" s="183" t="s">
        <v>16</v>
      </c>
      <c r="G29" s="183"/>
      <c r="H29" s="186">
        <f t="shared" si="7"/>
        <v>11</v>
      </c>
      <c r="I29" s="197">
        <f t="shared" si="10"/>
        <v>-1368400.9989570146</v>
      </c>
      <c r="J29" s="194">
        <f t="shared" si="0"/>
        <v>1310600.2451257277</v>
      </c>
      <c r="K29" s="186">
        <f t="shared" si="8"/>
        <v>57800.753831286915</v>
      </c>
      <c r="L29" s="186">
        <f t="shared" si="1"/>
        <v>119397592.70420058</v>
      </c>
      <c r="M29" s="194">
        <f t="shared" si="11"/>
        <v>-53993.8378430304</v>
      </c>
      <c r="N29" s="194" t="e">
        <f ca="1">+-VLOOKUP(D29,#REF!,3,0)*L28</f>
        <v>#REF!</v>
      </c>
      <c r="O29" s="194">
        <f t="shared" si="12"/>
        <v>-170190.67095</v>
      </c>
      <c r="P29" s="195">
        <f t="shared" si="13"/>
        <v>11</v>
      </c>
      <c r="Q29" s="198">
        <f t="shared" si="2"/>
        <v>-1592585.507750045</v>
      </c>
      <c r="R29" s="136"/>
      <c r="W29" s="183" t="s">
        <v>99</v>
      </c>
      <c r="X29" s="196"/>
      <c r="Y29" s="188"/>
      <c r="Z29" s="136"/>
      <c r="AA29" s="188"/>
    </row>
    <row r="30" spans="1:27" s="130" customFormat="1" x14ac:dyDescent="0.3">
      <c r="A30" s="189">
        <f t="shared" ca="1" si="3"/>
        <v>49629</v>
      </c>
      <c r="B30" s="190">
        <f t="shared" ca="1" si="4"/>
        <v>38</v>
      </c>
      <c r="C30" s="189">
        <f t="shared" ca="1" si="5"/>
        <v>45612</v>
      </c>
      <c r="D30" s="190">
        <f t="shared" ca="1" si="6"/>
        <v>27</v>
      </c>
      <c r="E30" s="189">
        <f t="shared" ca="1" si="9"/>
        <v>45871</v>
      </c>
      <c r="F30" s="183" t="s">
        <v>17</v>
      </c>
      <c r="G30" s="183"/>
      <c r="H30" s="186">
        <f t="shared" si="7"/>
        <v>12</v>
      </c>
      <c r="I30" s="197">
        <f t="shared" si="10"/>
        <v>-1368400.9989570146</v>
      </c>
      <c r="J30" s="194">
        <f t="shared" si="0"/>
        <v>1309966.0863828966</v>
      </c>
      <c r="K30" s="186">
        <f t="shared" si="8"/>
        <v>58434.912574118003</v>
      </c>
      <c r="L30" s="186">
        <f t="shared" si="1"/>
        <v>119339157.79162647</v>
      </c>
      <c r="M30" s="194">
        <f t="shared" si="11"/>
        <v>-53967.711902298659</v>
      </c>
      <c r="N30" s="194" t="e">
        <f ca="1">+-VLOOKUP(D30,#REF!,3,0)*L29</f>
        <v>#REF!</v>
      </c>
      <c r="O30" s="194">
        <f t="shared" si="12"/>
        <v>-170190.67095</v>
      </c>
      <c r="P30" s="195">
        <f t="shared" si="13"/>
        <v>12</v>
      </c>
      <c r="Q30" s="198">
        <f t="shared" si="2"/>
        <v>-1592559.3818093133</v>
      </c>
      <c r="R30" s="136">
        <f>+AVERAGE(L18:L29)</f>
        <v>119704272.77196138</v>
      </c>
      <c r="S30" s="136">
        <f>+SUM(Q19:Q30)</f>
        <v>-19112376.014399294</v>
      </c>
      <c r="T30" s="136">
        <f>+SUM(J19:J30)</f>
        <v>15759969.779110651</v>
      </c>
      <c r="U30" s="136">
        <f>+-SUM(M19:M30)</f>
        <v>649275.97551511845</v>
      </c>
      <c r="V30" s="136">
        <f>+SUM(K19:K30)</f>
        <v>660842.20837352541</v>
      </c>
      <c r="W30" s="136">
        <f>+U30+T30</f>
        <v>16409245.754625769</v>
      </c>
      <c r="X30" s="199">
        <f>+W30/R30</f>
        <v>0.13708153748100249</v>
      </c>
      <c r="Y30" s="199">
        <f>+X30/12</f>
        <v>1.1423461456750208E-2</v>
      </c>
      <c r="Z30" s="167">
        <f>+(1+Y30)^(12)-1</f>
        <v>0.14603078033888717</v>
      </c>
      <c r="AA30" s="188"/>
    </row>
    <row r="31" spans="1:27" s="130" customFormat="1" x14ac:dyDescent="0.3">
      <c r="A31" s="189">
        <f t="shared" ca="1" si="3"/>
        <v>49995</v>
      </c>
      <c r="B31" s="190">
        <f t="shared" ca="1" si="4"/>
        <v>39</v>
      </c>
      <c r="C31" s="189">
        <f t="shared" ca="1" si="5"/>
        <v>45612</v>
      </c>
      <c r="D31" s="190">
        <f t="shared" ca="1" si="6"/>
        <v>27</v>
      </c>
      <c r="E31" s="189">
        <f t="shared" ca="1" si="9"/>
        <v>45902</v>
      </c>
      <c r="F31" s="183" t="s">
        <v>18</v>
      </c>
      <c r="G31" s="183"/>
      <c r="H31" s="186">
        <f t="shared" si="7"/>
        <v>13</v>
      </c>
      <c r="I31" s="197">
        <f t="shared" si="10"/>
        <v>-1368400.9989570146</v>
      </c>
      <c r="J31" s="194">
        <f t="shared" si="0"/>
        <v>1309324.9699918611</v>
      </c>
      <c r="K31" s="186">
        <f t="shared" si="8"/>
        <v>59076.028965153499</v>
      </c>
      <c r="L31" s="186">
        <f t="shared" si="1"/>
        <v>119280081.76266131</v>
      </c>
      <c r="M31" s="194">
        <f t="shared" si="11"/>
        <v>-53941.299321815161</v>
      </c>
      <c r="N31" s="194" t="e">
        <f ca="1">+-VLOOKUP(D31,#REF!,3,0)*L30</f>
        <v>#REF!</v>
      </c>
      <c r="O31" s="194">
        <f t="shared" si="12"/>
        <v>-170190.67095</v>
      </c>
      <c r="P31" s="195">
        <f t="shared" si="13"/>
        <v>13</v>
      </c>
      <c r="Q31" s="198">
        <f t="shared" si="2"/>
        <v>-1592532.9692288297</v>
      </c>
      <c r="R31" s="136"/>
      <c r="W31" s="183"/>
      <c r="X31" s="196"/>
      <c r="Y31" s="188"/>
      <c r="Z31" s="136"/>
      <c r="AA31" s="188"/>
    </row>
    <row r="32" spans="1:27" s="130" customFormat="1" x14ac:dyDescent="0.3">
      <c r="A32" s="189">
        <f t="shared" ca="1" si="3"/>
        <v>50360</v>
      </c>
      <c r="B32" s="190">
        <f t="shared" ca="1" si="4"/>
        <v>40</v>
      </c>
      <c r="C32" s="189">
        <f t="shared" ca="1" si="5"/>
        <v>45612</v>
      </c>
      <c r="D32" s="190">
        <f t="shared" ca="1" si="6"/>
        <v>27</v>
      </c>
      <c r="E32" s="189">
        <f t="shared" ca="1" si="9"/>
        <v>45932</v>
      </c>
      <c r="F32" s="183" t="s">
        <v>19</v>
      </c>
      <c r="G32" s="183"/>
      <c r="H32" s="186">
        <f t="shared" si="7"/>
        <v>14</v>
      </c>
      <c r="I32" s="197">
        <f t="shared" si="10"/>
        <v>-1368400.9989570146</v>
      </c>
      <c r="J32" s="194">
        <f t="shared" si="0"/>
        <v>1308676.8196170521</v>
      </c>
      <c r="K32" s="186">
        <f t="shared" si="8"/>
        <v>59724.179339962546</v>
      </c>
      <c r="L32" s="186">
        <f t="shared" si="1"/>
        <v>119220357.58332135</v>
      </c>
      <c r="M32" s="194">
        <f t="shared" si="11"/>
        <v>-53914.596956722911</v>
      </c>
      <c r="N32" s="194" t="e">
        <f ca="1">+-VLOOKUP(D32,#REF!,3,0)*L31</f>
        <v>#REF!</v>
      </c>
      <c r="O32" s="194">
        <f t="shared" si="12"/>
        <v>-170190.67095</v>
      </c>
      <c r="P32" s="195">
        <f t="shared" si="13"/>
        <v>14</v>
      </c>
      <c r="Q32" s="198">
        <f t="shared" si="2"/>
        <v>-1592506.2668637375</v>
      </c>
      <c r="R32" s="136"/>
      <c r="W32" s="183"/>
      <c r="X32" s="196"/>
      <c r="Y32" s="188"/>
      <c r="Z32" s="136"/>
      <c r="AA32" s="188"/>
    </row>
    <row r="33" spans="1:27" s="130" customFormat="1" x14ac:dyDescent="0.3">
      <c r="A33" s="189">
        <f t="shared" ca="1" si="3"/>
        <v>50725</v>
      </c>
      <c r="B33" s="190">
        <f t="shared" ca="1" si="4"/>
        <v>41</v>
      </c>
      <c r="C33" s="189">
        <f t="shared" ca="1" si="5"/>
        <v>45612</v>
      </c>
      <c r="D33" s="190">
        <f t="shared" ca="1" si="6"/>
        <v>27</v>
      </c>
      <c r="E33" s="189">
        <f t="shared" ca="1" si="9"/>
        <v>45963</v>
      </c>
      <c r="F33" s="183" t="s">
        <v>20</v>
      </c>
      <c r="G33" s="183"/>
      <c r="H33" s="186">
        <f t="shared" si="7"/>
        <v>15</v>
      </c>
      <c r="I33" s="197">
        <f t="shared" si="10"/>
        <v>-1368400.9989570146</v>
      </c>
      <c r="J33" s="194">
        <f t="shared" si="0"/>
        <v>1308021.5580853876</v>
      </c>
      <c r="K33" s="186">
        <f t="shared" si="8"/>
        <v>60379.44087162707</v>
      </c>
      <c r="L33" s="186">
        <f t="shared" si="1"/>
        <v>119159978.14244972</v>
      </c>
      <c r="M33" s="194">
        <f t="shared" si="11"/>
        <v>-53887.60162766125</v>
      </c>
      <c r="N33" s="194" t="e">
        <f ca="1">+-VLOOKUP(D33,#REF!,3,0)*L32</f>
        <v>#REF!</v>
      </c>
      <c r="O33" s="194">
        <f t="shared" si="12"/>
        <v>-170190.67095</v>
      </c>
      <c r="P33" s="195">
        <f t="shared" si="13"/>
        <v>15</v>
      </c>
      <c r="Q33" s="198">
        <f t="shared" si="2"/>
        <v>-1592479.2715346757</v>
      </c>
      <c r="R33" s="136"/>
      <c r="W33" s="183"/>
      <c r="X33" s="196"/>
      <c r="Y33" s="188"/>
      <c r="Z33" s="136"/>
      <c r="AA33" s="188"/>
    </row>
    <row r="34" spans="1:27" s="130" customFormat="1" x14ac:dyDescent="0.3">
      <c r="A34" s="189">
        <f t="shared" ca="1" si="3"/>
        <v>51090</v>
      </c>
      <c r="B34" s="190">
        <f t="shared" ca="1" si="4"/>
        <v>42</v>
      </c>
      <c r="C34" s="189">
        <f t="shared" ca="1" si="5"/>
        <v>45977</v>
      </c>
      <c r="D34" s="190">
        <f t="shared" ca="1" si="6"/>
        <v>28</v>
      </c>
      <c r="E34" s="189">
        <f t="shared" ca="1" si="9"/>
        <v>45993</v>
      </c>
      <c r="F34" s="183" t="s">
        <v>21</v>
      </c>
      <c r="G34" s="183"/>
      <c r="H34" s="186">
        <f t="shared" si="7"/>
        <v>16</v>
      </c>
      <c r="I34" s="197">
        <f t="shared" si="10"/>
        <v>-1368400.9989570146</v>
      </c>
      <c r="J34" s="194">
        <f t="shared" si="0"/>
        <v>1307359.1073770844</v>
      </c>
      <c r="K34" s="186">
        <f t="shared" si="8"/>
        <v>61041.891579930205</v>
      </c>
      <c r="L34" s="186">
        <f t="shared" si="1"/>
        <v>119098936.2508698</v>
      </c>
      <c r="M34" s="194">
        <f t="shared" si="11"/>
        <v>-53860.310120387272</v>
      </c>
      <c r="N34" s="194" t="e">
        <f ca="1">+-VLOOKUP(D34,#REF!,3,0)*L33</f>
        <v>#REF!</v>
      </c>
      <c r="O34" s="194">
        <f t="shared" si="12"/>
        <v>-170190.67095</v>
      </c>
      <c r="P34" s="195">
        <f t="shared" si="13"/>
        <v>16</v>
      </c>
      <c r="Q34" s="198">
        <f t="shared" si="2"/>
        <v>-1592451.9800274018</v>
      </c>
      <c r="R34" s="136"/>
      <c r="W34" s="183"/>
      <c r="X34" s="196"/>
      <c r="Y34" s="188"/>
      <c r="Z34" s="136"/>
      <c r="AA34" s="188"/>
    </row>
    <row r="35" spans="1:27" s="130" customFormat="1" x14ac:dyDescent="0.3">
      <c r="A35" s="189">
        <f t="shared" ca="1" si="3"/>
        <v>51456</v>
      </c>
      <c r="B35" s="190">
        <f t="shared" ca="1" si="4"/>
        <v>43</v>
      </c>
      <c r="C35" s="189">
        <f t="shared" ca="1" si="5"/>
        <v>45977</v>
      </c>
      <c r="D35" s="190">
        <f t="shared" ca="1" si="6"/>
        <v>28</v>
      </c>
      <c r="E35" s="189">
        <f t="shared" ca="1" si="9"/>
        <v>46024</v>
      </c>
      <c r="F35" s="183" t="s">
        <v>22</v>
      </c>
      <c r="G35" s="183"/>
      <c r="H35" s="186">
        <f t="shared" si="7"/>
        <v>17</v>
      </c>
      <c r="I35" s="197">
        <f t="shared" si="10"/>
        <v>-1368400.9989570146</v>
      </c>
      <c r="J35" s="194">
        <f t="shared" si="0"/>
        <v>1306689.3886163682</v>
      </c>
      <c r="K35" s="186">
        <f t="shared" si="8"/>
        <v>61711.610340646468</v>
      </c>
      <c r="L35" s="186">
        <f t="shared" si="1"/>
        <v>119037224.64052916</v>
      </c>
      <c r="M35" s="194">
        <f t="shared" si="11"/>
        <v>-53832.719185393144</v>
      </c>
      <c r="N35" s="194" t="e">
        <f ca="1">+-VLOOKUP(D35,#REF!,3,0)*L34</f>
        <v>#REF!</v>
      </c>
      <c r="O35" s="194">
        <f t="shared" si="12"/>
        <v>-170190.67095</v>
      </c>
      <c r="P35" s="195">
        <f t="shared" si="13"/>
        <v>17</v>
      </c>
      <c r="Q35" s="198">
        <f t="shared" si="2"/>
        <v>-1592424.3890924077</v>
      </c>
      <c r="R35" s="136"/>
      <c r="W35" s="183"/>
      <c r="X35" s="196"/>
      <c r="Y35" s="188"/>
      <c r="Z35" s="136"/>
      <c r="AA35" s="188"/>
    </row>
    <row r="36" spans="1:27" s="130" customFormat="1" x14ac:dyDescent="0.3">
      <c r="A36" s="189">
        <f t="shared" ca="1" si="3"/>
        <v>51821</v>
      </c>
      <c r="B36" s="190">
        <f t="shared" ca="1" si="4"/>
        <v>44</v>
      </c>
      <c r="C36" s="189">
        <f t="shared" ca="1" si="5"/>
        <v>45977</v>
      </c>
      <c r="D36" s="190">
        <f t="shared" ca="1" si="6"/>
        <v>28</v>
      </c>
      <c r="E36" s="189">
        <f t="shared" ca="1" si="9"/>
        <v>46055</v>
      </c>
      <c r="F36" s="183" t="s">
        <v>23</v>
      </c>
      <c r="G36" s="183"/>
      <c r="H36" s="186">
        <f t="shared" si="7"/>
        <v>18</v>
      </c>
      <c r="I36" s="197">
        <f t="shared" si="10"/>
        <v>-1368400.9989570146</v>
      </c>
      <c r="J36" s="194">
        <f t="shared" si="0"/>
        <v>1306012.3220620819</v>
      </c>
      <c r="K36" s="186">
        <f t="shared" si="8"/>
        <v>62388.676894932752</v>
      </c>
      <c r="L36" s="186">
        <f t="shared" si="1"/>
        <v>118974835.96363422</v>
      </c>
      <c r="M36" s="194">
        <f t="shared" si="11"/>
        <v>-53804.825537519173</v>
      </c>
      <c r="N36" s="194" t="e">
        <f ca="1">+-VLOOKUP(D36,#REF!,3,0)*L35</f>
        <v>#REF!</v>
      </c>
      <c r="O36" s="194">
        <f t="shared" si="12"/>
        <v>-170190.67095</v>
      </c>
      <c r="P36" s="195">
        <f t="shared" si="13"/>
        <v>18</v>
      </c>
      <c r="Q36" s="198">
        <f t="shared" si="2"/>
        <v>-1592396.4954445336</v>
      </c>
      <c r="R36" s="136"/>
      <c r="W36" s="183"/>
      <c r="X36" s="196"/>
      <c r="Y36" s="188"/>
      <c r="Z36" s="136"/>
      <c r="AA36" s="188"/>
    </row>
    <row r="37" spans="1:27" s="130" customFormat="1" x14ac:dyDescent="0.3">
      <c r="A37" s="189">
        <f t="shared" ca="1" si="3"/>
        <v>52186</v>
      </c>
      <c r="B37" s="190">
        <f t="shared" ca="1" si="4"/>
        <v>45</v>
      </c>
      <c r="C37" s="189">
        <f t="shared" ca="1" si="5"/>
        <v>45977</v>
      </c>
      <c r="D37" s="190">
        <f t="shared" ca="1" si="6"/>
        <v>28</v>
      </c>
      <c r="E37" s="189">
        <f t="shared" ca="1" si="9"/>
        <v>46083</v>
      </c>
      <c r="F37" s="183" t="s">
        <v>24</v>
      </c>
      <c r="G37" s="183"/>
      <c r="H37" s="186">
        <f t="shared" si="7"/>
        <v>19</v>
      </c>
      <c r="I37" s="197">
        <f t="shared" si="10"/>
        <v>-1368400.9989570146</v>
      </c>
      <c r="J37" s="194">
        <f t="shared" si="0"/>
        <v>1305327.8270981915</v>
      </c>
      <c r="K37" s="186">
        <f t="shared" si="8"/>
        <v>63073.17185882316</v>
      </c>
      <c r="L37" s="186">
        <f t="shared" si="1"/>
        <v>118911762.79177541</v>
      </c>
      <c r="M37" s="194">
        <f t="shared" si="11"/>
        <v>-53776.62585556267</v>
      </c>
      <c r="N37" s="194" t="e">
        <f ca="1">+-VLOOKUP(D37,#REF!,3,0)*L36</f>
        <v>#REF!</v>
      </c>
      <c r="O37" s="194">
        <f t="shared" si="12"/>
        <v>-170190.67095</v>
      </c>
      <c r="P37" s="195">
        <f t="shared" si="13"/>
        <v>19</v>
      </c>
      <c r="Q37" s="198">
        <f t="shared" si="2"/>
        <v>-1592368.2957625773</v>
      </c>
      <c r="R37" s="136"/>
      <c r="W37" s="183"/>
      <c r="X37" s="196"/>
      <c r="Y37" s="188"/>
      <c r="Z37" s="136"/>
      <c r="AA37" s="188"/>
    </row>
    <row r="38" spans="1:27" s="130" customFormat="1" x14ac:dyDescent="0.3">
      <c r="A38" s="189">
        <f t="shared" ca="1" si="3"/>
        <v>52551</v>
      </c>
      <c r="B38" s="190">
        <f t="shared" ca="1" si="4"/>
        <v>46</v>
      </c>
      <c r="C38" s="189">
        <f t="shared" ca="1" si="5"/>
        <v>45977</v>
      </c>
      <c r="D38" s="190">
        <f t="shared" ca="1" si="6"/>
        <v>28</v>
      </c>
      <c r="E38" s="189">
        <f t="shared" ca="1" si="9"/>
        <v>46114</v>
      </c>
      <c r="F38" s="183" t="s">
        <v>25</v>
      </c>
      <c r="G38" s="183"/>
      <c r="H38" s="186">
        <f t="shared" si="7"/>
        <v>20</v>
      </c>
      <c r="I38" s="197">
        <f t="shared" si="10"/>
        <v>-1368400.9989570146</v>
      </c>
      <c r="J38" s="194">
        <f t="shared" si="0"/>
        <v>1304635.8222241874</v>
      </c>
      <c r="K38" s="186">
        <f t="shared" si="8"/>
        <v>63765.176732827211</v>
      </c>
      <c r="L38" s="186">
        <f t="shared" si="1"/>
        <v>118847997.61504258</v>
      </c>
      <c r="M38" s="194">
        <f t="shared" si="11"/>
        <v>-53748.116781882483</v>
      </c>
      <c r="N38" s="194" t="e">
        <f ca="1">+-VLOOKUP(D38,#REF!,3,0)*L37</f>
        <v>#REF!</v>
      </c>
      <c r="O38" s="194">
        <f t="shared" si="12"/>
        <v>-170190.67095</v>
      </c>
      <c r="P38" s="195">
        <f t="shared" si="13"/>
        <v>20</v>
      </c>
      <c r="Q38" s="198">
        <f t="shared" si="2"/>
        <v>-1592339.7866888971</v>
      </c>
      <c r="R38" s="136"/>
      <c r="W38" s="183"/>
      <c r="X38" s="196"/>
      <c r="Y38" s="188"/>
      <c r="Z38" s="136"/>
      <c r="AA38" s="188"/>
    </row>
    <row r="39" spans="1:27" s="130" customFormat="1" x14ac:dyDescent="0.3">
      <c r="A39" s="189">
        <f t="shared" ca="1" si="3"/>
        <v>52917</v>
      </c>
      <c r="B39" s="190">
        <f t="shared" ca="1" si="4"/>
        <v>47</v>
      </c>
      <c r="C39" s="189">
        <f t="shared" ca="1" si="5"/>
        <v>45977</v>
      </c>
      <c r="D39" s="190">
        <f t="shared" ca="1" si="6"/>
        <v>28</v>
      </c>
      <c r="E39" s="189">
        <f t="shared" ca="1" si="9"/>
        <v>46144</v>
      </c>
      <c r="F39" s="183" t="s">
        <v>26</v>
      </c>
      <c r="G39" s="183"/>
      <c r="H39" s="186">
        <f t="shared" si="7"/>
        <v>21</v>
      </c>
      <c r="I39" s="197">
        <f t="shared" si="10"/>
        <v>-1368400.9989570146</v>
      </c>
      <c r="J39" s="194">
        <f t="shared" si="0"/>
        <v>1303936.2250453804</v>
      </c>
      <c r="K39" s="186">
        <f t="shared" si="8"/>
        <v>64464.773911634227</v>
      </c>
      <c r="L39" s="186">
        <f t="shared" si="1"/>
        <v>118783532.84113094</v>
      </c>
      <c r="M39" s="194">
        <f t="shared" si="11"/>
        <v>-53719.294921999244</v>
      </c>
      <c r="N39" s="194" t="e">
        <f ca="1">+-VLOOKUP(D39,#REF!,3,0)*L38</f>
        <v>#REF!</v>
      </c>
      <c r="O39" s="194">
        <f t="shared" si="12"/>
        <v>-170190.67095</v>
      </c>
      <c r="P39" s="195">
        <f t="shared" si="13"/>
        <v>21</v>
      </c>
      <c r="Q39" s="198">
        <f t="shared" si="2"/>
        <v>-1592310.9648290139</v>
      </c>
      <c r="R39" s="136"/>
      <c r="W39" s="183"/>
      <c r="X39" s="196"/>
      <c r="Y39" s="188"/>
      <c r="Z39" s="136"/>
      <c r="AA39" s="188"/>
    </row>
    <row r="40" spans="1:27" s="130" customFormat="1" x14ac:dyDescent="0.3">
      <c r="A40" s="189">
        <f t="shared" ca="1" si="3"/>
        <v>53282</v>
      </c>
      <c r="B40" s="190">
        <f t="shared" ca="1" si="4"/>
        <v>48</v>
      </c>
      <c r="C40" s="189">
        <f t="shared" ca="1" si="5"/>
        <v>45977</v>
      </c>
      <c r="D40" s="190">
        <f t="shared" ca="1" si="6"/>
        <v>28</v>
      </c>
      <c r="E40" s="189">
        <f t="shared" ca="1" si="9"/>
        <v>46175</v>
      </c>
      <c r="F40" s="183" t="s">
        <v>27</v>
      </c>
      <c r="G40" s="183"/>
      <c r="H40" s="186">
        <f t="shared" si="7"/>
        <v>22</v>
      </c>
      <c r="I40" s="197">
        <f t="shared" si="10"/>
        <v>-1368400.9989570146</v>
      </c>
      <c r="J40" s="194">
        <f t="shared" si="0"/>
        <v>1303228.9522630908</v>
      </c>
      <c r="K40" s="186">
        <f t="shared" si="8"/>
        <v>65172.046693923883</v>
      </c>
      <c r="L40" s="186">
        <f t="shared" si="1"/>
        <v>118718360.79443702</v>
      </c>
      <c r="M40" s="194">
        <f t="shared" si="11"/>
        <v>-53690.15684419118</v>
      </c>
      <c r="N40" s="194" t="e">
        <f ca="1">+-VLOOKUP(D40,#REF!,3,0)*L39</f>
        <v>#REF!</v>
      </c>
      <c r="O40" s="194">
        <f t="shared" si="12"/>
        <v>-170190.67095</v>
      </c>
      <c r="P40" s="195">
        <f t="shared" si="13"/>
        <v>22</v>
      </c>
      <c r="Q40" s="198">
        <f t="shared" si="2"/>
        <v>-1592281.8267512058</v>
      </c>
      <c r="R40" s="136"/>
      <c r="W40" s="183"/>
      <c r="X40" s="196"/>
      <c r="Y40" s="188"/>
      <c r="Z40" s="136"/>
      <c r="AA40" s="188"/>
    </row>
    <row r="41" spans="1:27" s="130" customFormat="1" x14ac:dyDescent="0.3">
      <c r="A41" s="189">
        <f t="shared" ca="1" si="3"/>
        <v>53647</v>
      </c>
      <c r="B41" s="190">
        <f t="shared" ca="1" si="4"/>
        <v>49</v>
      </c>
      <c r="C41" s="189">
        <f t="shared" ca="1" si="5"/>
        <v>45977</v>
      </c>
      <c r="D41" s="190">
        <f t="shared" ca="1" si="6"/>
        <v>28</v>
      </c>
      <c r="E41" s="189">
        <f t="shared" ca="1" si="9"/>
        <v>46205</v>
      </c>
      <c r="F41" s="183" t="s">
        <v>28</v>
      </c>
      <c r="G41" s="183"/>
      <c r="H41" s="186">
        <f t="shared" si="7"/>
        <v>23</v>
      </c>
      <c r="I41" s="197">
        <f t="shared" si="10"/>
        <v>-1368400.9989570146</v>
      </c>
      <c r="J41" s="194">
        <f t="shared" si="0"/>
        <v>1302513.9196647308</v>
      </c>
      <c r="K41" s="186">
        <f t="shared" si="8"/>
        <v>65887.079292283859</v>
      </c>
      <c r="L41" s="186">
        <f t="shared" si="1"/>
        <v>118652473.71514474</v>
      </c>
      <c r="M41" s="194">
        <f t="shared" si="11"/>
        <v>-53660.699079085534</v>
      </c>
      <c r="N41" s="194" t="e">
        <f ca="1">+-VLOOKUP(D41,#REF!,3,0)*L40</f>
        <v>#REF!</v>
      </c>
      <c r="O41" s="194">
        <f t="shared" si="12"/>
        <v>-170190.67095</v>
      </c>
      <c r="P41" s="195">
        <f t="shared" si="13"/>
        <v>23</v>
      </c>
      <c r="Q41" s="198">
        <f t="shared" si="2"/>
        <v>-1592252.3689861002</v>
      </c>
      <c r="R41" s="136"/>
      <c r="W41" s="183"/>
      <c r="X41" s="196"/>
      <c r="Y41" s="188"/>
      <c r="Z41" s="136"/>
      <c r="AA41" s="188"/>
    </row>
    <row r="42" spans="1:27" s="130" customFormat="1" x14ac:dyDescent="0.3">
      <c r="A42" s="189">
        <f t="shared" ca="1" si="3"/>
        <v>54012</v>
      </c>
      <c r="B42" s="190">
        <f t="shared" ca="1" si="4"/>
        <v>50</v>
      </c>
      <c r="C42" s="189">
        <f t="shared" ca="1" si="5"/>
        <v>45977</v>
      </c>
      <c r="D42" s="190">
        <f t="shared" ca="1" si="6"/>
        <v>28</v>
      </c>
      <c r="E42" s="189">
        <f t="shared" ca="1" si="9"/>
        <v>46236</v>
      </c>
      <c r="F42" s="183" t="s">
        <v>29</v>
      </c>
      <c r="G42" s="183"/>
      <c r="H42" s="186">
        <f t="shared" si="7"/>
        <v>24</v>
      </c>
      <c r="I42" s="197">
        <f t="shared" si="10"/>
        <v>-1368400.9989570146</v>
      </c>
      <c r="J42" s="194">
        <f t="shared" si="0"/>
        <v>1301791.0421137777</v>
      </c>
      <c r="K42" s="186">
        <f t="shared" si="8"/>
        <v>66609.956843236927</v>
      </c>
      <c r="L42" s="186">
        <f t="shared" si="1"/>
        <v>118585863.7583015</v>
      </c>
      <c r="M42" s="194">
        <f t="shared" si="11"/>
        <v>-53630.91811924542</v>
      </c>
      <c r="N42" s="194" t="e">
        <f ca="1">+-VLOOKUP(D42,#REF!,3,0)*L41</f>
        <v>#REF!</v>
      </c>
      <c r="O42" s="194">
        <f t="shared" si="12"/>
        <v>-170190.67095</v>
      </c>
      <c r="P42" s="195">
        <f t="shared" si="13"/>
        <v>24</v>
      </c>
      <c r="Q42" s="198">
        <f t="shared" si="2"/>
        <v>-1592222.58802626</v>
      </c>
      <c r="R42" s="136"/>
      <c r="S42" s="136"/>
      <c r="T42" s="136"/>
      <c r="U42" s="136"/>
      <c r="V42" s="136"/>
      <c r="W42" s="136"/>
      <c r="X42" s="199"/>
      <c r="Y42" s="199"/>
      <c r="Z42" s="200"/>
      <c r="AA42" s="188"/>
    </row>
    <row r="43" spans="1:27" s="130" customFormat="1" x14ac:dyDescent="0.3">
      <c r="C43" s="189">
        <f t="shared" ca="1" si="5"/>
        <v>45977</v>
      </c>
      <c r="D43" s="190">
        <f t="shared" ca="1" si="6"/>
        <v>28</v>
      </c>
      <c r="E43" s="189">
        <f t="shared" ca="1" si="9"/>
        <v>46267</v>
      </c>
      <c r="F43" s="183" t="s">
        <v>30</v>
      </c>
      <c r="G43" s="183"/>
      <c r="H43" s="186">
        <f t="shared" si="7"/>
        <v>25</v>
      </c>
      <c r="I43" s="197">
        <f t="shared" si="10"/>
        <v>-1368400.9989570146</v>
      </c>
      <c r="J43" s="194">
        <f t="shared" si="0"/>
        <v>1301060.2335396362</v>
      </c>
      <c r="K43" s="186">
        <f t="shared" si="8"/>
        <v>67340.765417378396</v>
      </c>
      <c r="L43" s="186">
        <f t="shared" si="1"/>
        <v>118518522.99288411</v>
      </c>
      <c r="M43" s="194">
        <f t="shared" si="11"/>
        <v>-53600.810418752277</v>
      </c>
      <c r="N43" s="194" t="e">
        <f ca="1">+-VLOOKUP(D43,#REF!,3,0)*L42</f>
        <v>#REF!</v>
      </c>
      <c r="O43" s="194">
        <f t="shared" si="12"/>
        <v>-170190.67095</v>
      </c>
      <c r="P43" s="195">
        <f t="shared" si="13"/>
        <v>25</v>
      </c>
      <c r="Q43" s="198">
        <f t="shared" si="2"/>
        <v>-1592192.4803257668</v>
      </c>
      <c r="R43" s="136"/>
      <c r="W43" s="183"/>
      <c r="X43" s="196"/>
      <c r="Y43" s="188"/>
      <c r="Z43" s="136"/>
      <c r="AA43" s="188"/>
    </row>
    <row r="44" spans="1:27" s="130" customFormat="1" x14ac:dyDescent="0.3">
      <c r="C44" s="189">
        <f t="shared" ca="1" si="5"/>
        <v>45977</v>
      </c>
      <c r="D44" s="190">
        <f t="shared" ca="1" si="6"/>
        <v>28</v>
      </c>
      <c r="E44" s="189">
        <f t="shared" ca="1" si="9"/>
        <v>46297</v>
      </c>
      <c r="F44" s="183" t="s">
        <v>31</v>
      </c>
      <c r="G44" s="183"/>
      <c r="H44" s="186">
        <f t="shared" si="7"/>
        <v>26</v>
      </c>
      <c r="I44" s="197">
        <f t="shared" si="10"/>
        <v>-1368400.9989570146</v>
      </c>
      <c r="J44" s="194">
        <f t="shared" si="0"/>
        <v>1300321.4069273914</v>
      </c>
      <c r="K44" s="186">
        <f t="shared" si="8"/>
        <v>68079.592029623222</v>
      </c>
      <c r="L44" s="186">
        <f t="shared" si="1"/>
        <v>118450443.4008545</v>
      </c>
      <c r="M44" s="194">
        <f t="shared" si="11"/>
        <v>-53570.372392783618</v>
      </c>
      <c r="N44" s="194" t="e">
        <f ca="1">+-VLOOKUP(D44,#REF!,3,0)*L43</f>
        <v>#REF!</v>
      </c>
      <c r="O44" s="194">
        <f t="shared" si="12"/>
        <v>-170190.67095</v>
      </c>
      <c r="P44" s="195">
        <f t="shared" si="13"/>
        <v>26</v>
      </c>
      <c r="Q44" s="198">
        <f t="shared" si="2"/>
        <v>-1592162.0422997982</v>
      </c>
      <c r="R44" s="136"/>
      <c r="W44" s="183"/>
      <c r="X44" s="196"/>
      <c r="Y44" s="188"/>
      <c r="Z44" s="136"/>
      <c r="AA44" s="188"/>
    </row>
    <row r="45" spans="1:27" s="130" customFormat="1" x14ac:dyDescent="0.3">
      <c r="C45" s="189">
        <f t="shared" ca="1" si="5"/>
        <v>45977</v>
      </c>
      <c r="D45" s="190">
        <f t="shared" ca="1" si="6"/>
        <v>28</v>
      </c>
      <c r="E45" s="189">
        <f t="shared" ca="1" si="9"/>
        <v>46328</v>
      </c>
      <c r="F45" s="183" t="s">
        <v>32</v>
      </c>
      <c r="G45" s="183"/>
      <c r="H45" s="186">
        <f t="shared" si="7"/>
        <v>27</v>
      </c>
      <c r="I45" s="197">
        <f t="shared" si="10"/>
        <v>-1368400.9989570146</v>
      </c>
      <c r="J45" s="194">
        <f t="shared" si="0"/>
        <v>1299574.4743074472</v>
      </c>
      <c r="K45" s="186">
        <f t="shared" si="8"/>
        <v>68826.524649567436</v>
      </c>
      <c r="L45" s="186">
        <f t="shared" si="1"/>
        <v>118381616.87620494</v>
      </c>
      <c r="M45" s="194">
        <f t="shared" si="11"/>
        <v>-53539.60041718623</v>
      </c>
      <c r="N45" s="194" t="e">
        <f ca="1">+-VLOOKUP(D45,#REF!,3,0)*L44</f>
        <v>#REF!</v>
      </c>
      <c r="O45" s="194">
        <f t="shared" si="12"/>
        <v>-170190.67095</v>
      </c>
      <c r="P45" s="195">
        <f t="shared" si="13"/>
        <v>27</v>
      </c>
      <c r="Q45" s="198">
        <f t="shared" si="2"/>
        <v>-1592131.2703242009</v>
      </c>
      <c r="R45" s="136"/>
      <c r="W45" s="183"/>
      <c r="X45" s="196"/>
      <c r="Y45" s="188"/>
      <c r="Z45" s="136"/>
      <c r="AA45" s="188"/>
    </row>
    <row r="46" spans="1:27" s="130" customFormat="1" x14ac:dyDescent="0.3">
      <c r="C46" s="189">
        <f t="shared" ca="1" si="5"/>
        <v>46342</v>
      </c>
      <c r="D46" s="190">
        <f t="shared" ca="1" si="6"/>
        <v>29</v>
      </c>
      <c r="E46" s="189">
        <f t="shared" ca="1" si="9"/>
        <v>46358</v>
      </c>
      <c r="F46" s="183" t="s">
        <v>33</v>
      </c>
      <c r="G46" s="183"/>
      <c r="H46" s="186">
        <f t="shared" si="7"/>
        <v>28</v>
      </c>
      <c r="I46" s="197">
        <f t="shared" si="10"/>
        <v>-1368400.9989570146</v>
      </c>
      <c r="J46" s="194">
        <f t="shared" si="0"/>
        <v>1298819.3467450526</v>
      </c>
      <c r="K46" s="186">
        <f t="shared" si="8"/>
        <v>69581.652211962035</v>
      </c>
      <c r="L46" s="186">
        <f t="shared" si="1"/>
        <v>118312035.22399297</v>
      </c>
      <c r="M46" s="194">
        <f t="shared" si="11"/>
        <v>-53508.490828044633</v>
      </c>
      <c r="N46" s="194" t="e">
        <f ca="1">+-VLOOKUP(D46,#REF!,3,0)*L45</f>
        <v>#REF!</v>
      </c>
      <c r="O46" s="194">
        <f t="shared" si="12"/>
        <v>-170190.67095</v>
      </c>
      <c r="P46" s="195">
        <f t="shared" si="13"/>
        <v>28</v>
      </c>
      <c r="Q46" s="198">
        <f t="shared" si="2"/>
        <v>-1592100.1607350593</v>
      </c>
      <c r="R46" s="136"/>
      <c r="W46" s="183"/>
      <c r="X46" s="196"/>
      <c r="Y46" s="188"/>
      <c r="Z46" s="136"/>
      <c r="AA46" s="188"/>
    </row>
    <row r="47" spans="1:27" s="130" customFormat="1" x14ac:dyDescent="0.3">
      <c r="C47" s="189">
        <f t="shared" ca="1" si="5"/>
        <v>46342</v>
      </c>
      <c r="D47" s="190">
        <f t="shared" ca="1" si="6"/>
        <v>29</v>
      </c>
      <c r="E47" s="189">
        <f t="shared" ca="1" si="9"/>
        <v>46389</v>
      </c>
      <c r="F47" s="183" t="s">
        <v>34</v>
      </c>
      <c r="G47" s="183"/>
      <c r="H47" s="186">
        <f t="shared" si="7"/>
        <v>29</v>
      </c>
      <c r="I47" s="197">
        <f t="shared" si="10"/>
        <v>-1368400.9989570146</v>
      </c>
      <c r="J47" s="194">
        <f t="shared" si="0"/>
        <v>1298055.9343297121</v>
      </c>
      <c r="K47" s="186">
        <f t="shared" si="8"/>
        <v>70345.064627302578</v>
      </c>
      <c r="L47" s="186">
        <f t="shared" si="1"/>
        <v>118241690.15936567</v>
      </c>
      <c r="M47" s="194">
        <f t="shared" si="11"/>
        <v>-53477.039921244825</v>
      </c>
      <c r="N47" s="194" t="e">
        <f ca="1">+-VLOOKUP(D47,#REF!,3,0)*L46</f>
        <v>#REF!</v>
      </c>
      <c r="O47" s="194">
        <f t="shared" si="12"/>
        <v>-170190.67095</v>
      </c>
      <c r="P47" s="195">
        <f t="shared" si="13"/>
        <v>29</v>
      </c>
      <c r="Q47" s="198">
        <f t="shared" si="2"/>
        <v>-1592068.7098282594</v>
      </c>
      <c r="R47" s="136"/>
      <c r="W47" s="183"/>
      <c r="X47" s="196"/>
      <c r="Y47" s="188"/>
      <c r="Z47" s="136"/>
      <c r="AA47" s="188"/>
    </row>
    <row r="48" spans="1:27" s="130" customFormat="1" x14ac:dyDescent="0.3">
      <c r="C48" s="189">
        <f t="shared" ca="1" si="5"/>
        <v>46342</v>
      </c>
      <c r="D48" s="190">
        <f t="shared" ca="1" si="6"/>
        <v>29</v>
      </c>
      <c r="E48" s="189">
        <f t="shared" ca="1" si="9"/>
        <v>46420</v>
      </c>
      <c r="F48" s="183" t="s">
        <v>35</v>
      </c>
      <c r="G48" s="183"/>
      <c r="H48" s="186">
        <f t="shared" si="7"/>
        <v>30</v>
      </c>
      <c r="I48" s="197">
        <f t="shared" si="10"/>
        <v>-1368400.9989570146</v>
      </c>
      <c r="J48" s="194">
        <f t="shared" si="0"/>
        <v>1297284.1461644808</v>
      </c>
      <c r="K48" s="186">
        <f t="shared" si="8"/>
        <v>71116.852792533813</v>
      </c>
      <c r="L48" s="186">
        <f t="shared" si="1"/>
        <v>118170573.30657314</v>
      </c>
      <c r="M48" s="194">
        <f t="shared" si="11"/>
        <v>-53445.243952033277</v>
      </c>
      <c r="N48" s="194" t="e">
        <f ca="1">+-VLOOKUP(D48,#REF!,3,0)*L47</f>
        <v>#REF!</v>
      </c>
      <c r="O48" s="194">
        <f t="shared" si="12"/>
        <v>-170190.67095</v>
      </c>
      <c r="P48" s="195">
        <f t="shared" si="13"/>
        <v>30</v>
      </c>
      <c r="Q48" s="198">
        <f t="shared" si="2"/>
        <v>-1592036.9138590479</v>
      </c>
      <c r="R48" s="136"/>
      <c r="W48" s="183"/>
      <c r="X48" s="196"/>
      <c r="Y48" s="188"/>
      <c r="Z48" s="136"/>
      <c r="AA48" s="188"/>
    </row>
    <row r="49" spans="3:27" s="130" customFormat="1" x14ac:dyDescent="0.3">
      <c r="C49" s="189">
        <f t="shared" ca="1" si="5"/>
        <v>46342</v>
      </c>
      <c r="D49" s="190">
        <f t="shared" ca="1" si="6"/>
        <v>29</v>
      </c>
      <c r="E49" s="189">
        <f t="shared" ca="1" si="9"/>
        <v>46448</v>
      </c>
      <c r="F49" s="183" t="s">
        <v>36</v>
      </c>
      <c r="G49" s="183"/>
      <c r="H49" s="186">
        <f t="shared" si="7"/>
        <v>31</v>
      </c>
      <c r="I49" s="197">
        <f t="shared" si="10"/>
        <v>-1368400.9989570146</v>
      </c>
      <c r="J49" s="194">
        <f t="shared" si="0"/>
        <v>1296503.8903551423</v>
      </c>
      <c r="K49" s="186">
        <f t="shared" si="8"/>
        <v>71897.108601872344</v>
      </c>
      <c r="L49" s="186">
        <f t="shared" si="1"/>
        <v>118098676.19797127</v>
      </c>
      <c r="M49" s="194">
        <f t="shared" si="11"/>
        <v>-53413.099134571057</v>
      </c>
      <c r="N49" s="194" t="e">
        <f ca="1">+-VLOOKUP(D49,#REF!,3,0)*L48</f>
        <v>#REF!</v>
      </c>
      <c r="O49" s="194">
        <f t="shared" si="12"/>
        <v>-170190.67095</v>
      </c>
      <c r="P49" s="195">
        <f t="shared" si="13"/>
        <v>31</v>
      </c>
      <c r="Q49" s="198">
        <f t="shared" si="2"/>
        <v>-1592004.7690415857</v>
      </c>
      <c r="R49" s="136"/>
      <c r="W49" s="183"/>
      <c r="X49" s="196"/>
      <c r="Y49" s="188"/>
      <c r="Z49" s="136"/>
      <c r="AA49" s="188"/>
    </row>
    <row r="50" spans="3:27" s="130" customFormat="1" x14ac:dyDescent="0.3">
      <c r="C50" s="189">
        <f t="shared" ca="1" si="5"/>
        <v>46342</v>
      </c>
      <c r="D50" s="190">
        <f t="shared" ca="1" si="6"/>
        <v>29</v>
      </c>
      <c r="E50" s="189">
        <f t="shared" ca="1" si="9"/>
        <v>46479</v>
      </c>
      <c r="F50" s="183" t="s">
        <v>37</v>
      </c>
      <c r="G50" s="183"/>
      <c r="H50" s="186">
        <f t="shared" si="7"/>
        <v>32</v>
      </c>
      <c r="I50" s="197">
        <f t="shared" si="10"/>
        <v>-1368400.9989570146</v>
      </c>
      <c r="J50" s="194">
        <f t="shared" si="0"/>
        <v>1295715.073999265</v>
      </c>
      <c r="K50" s="186">
        <f t="shared" si="8"/>
        <v>72685.924957749667</v>
      </c>
      <c r="L50" s="186">
        <f t="shared" si="1"/>
        <v>118025990.27301352</v>
      </c>
      <c r="M50" s="194">
        <f t="shared" si="11"/>
        <v>-53380.601641483008</v>
      </c>
      <c r="N50" s="194" t="e">
        <f ca="1">+-VLOOKUP(D50,#REF!,3,0)*L49</f>
        <v>#REF!</v>
      </c>
      <c r="O50" s="194">
        <f t="shared" si="12"/>
        <v>-170190.67095</v>
      </c>
      <c r="P50" s="195">
        <f t="shared" si="13"/>
        <v>32</v>
      </c>
      <c r="Q50" s="198">
        <f t="shared" si="2"/>
        <v>-1591972.2715484975</v>
      </c>
      <c r="R50" s="136"/>
      <c r="W50" s="183"/>
      <c r="X50" s="196"/>
      <c r="Y50" s="188"/>
      <c r="Z50" s="136"/>
      <c r="AA50" s="188"/>
    </row>
    <row r="51" spans="3:27" s="130" customFormat="1" x14ac:dyDescent="0.3">
      <c r="C51" s="189">
        <f t="shared" ca="1" si="5"/>
        <v>46342</v>
      </c>
      <c r="D51" s="190">
        <f t="shared" ca="1" si="6"/>
        <v>29</v>
      </c>
      <c r="E51" s="189">
        <f t="shared" ca="1" si="9"/>
        <v>46509</v>
      </c>
      <c r="F51" s="183" t="s">
        <v>38</v>
      </c>
      <c r="G51" s="183"/>
      <c r="H51" s="186">
        <f t="shared" si="7"/>
        <v>33</v>
      </c>
      <c r="I51" s="197">
        <f t="shared" si="10"/>
        <v>-1368400.9989570146</v>
      </c>
      <c r="J51" s="194">
        <f t="shared" si="0"/>
        <v>1294917.6031751428</v>
      </c>
      <c r="K51" s="186">
        <f t="shared" si="8"/>
        <v>73483.395781871863</v>
      </c>
      <c r="L51" s="186">
        <f t="shared" si="1"/>
        <v>117952506.87723164</v>
      </c>
      <c r="M51" s="194">
        <f t="shared" si="11"/>
        <v>-53347.747603402109</v>
      </c>
      <c r="N51" s="194" t="e">
        <f ca="1">+-VLOOKUP(D51,#REF!,3,0)*L50</f>
        <v>#REF!</v>
      </c>
      <c r="O51" s="194">
        <f t="shared" si="12"/>
        <v>-170190.67095</v>
      </c>
      <c r="P51" s="195">
        <f t="shared" si="13"/>
        <v>33</v>
      </c>
      <c r="Q51" s="198">
        <f t="shared" si="2"/>
        <v>-1591939.4175104166</v>
      </c>
      <c r="R51" s="136"/>
      <c r="W51" s="183"/>
      <c r="X51" s="196"/>
      <c r="Y51" s="188"/>
      <c r="Z51" s="136"/>
      <c r="AA51" s="188"/>
    </row>
    <row r="52" spans="3:27" s="130" customFormat="1" x14ac:dyDescent="0.3">
      <c r="C52" s="189">
        <f t="shared" ca="1" si="5"/>
        <v>46342</v>
      </c>
      <c r="D52" s="190">
        <f t="shared" ca="1" si="6"/>
        <v>29</v>
      </c>
      <c r="E52" s="189">
        <f t="shared" ca="1" si="9"/>
        <v>46540</v>
      </c>
      <c r="F52" s="183" t="s">
        <v>39</v>
      </c>
      <c r="G52" s="183"/>
      <c r="H52" s="186">
        <f t="shared" si="7"/>
        <v>34</v>
      </c>
      <c r="I52" s="197">
        <f t="shared" si="10"/>
        <v>-1368400.9989570146</v>
      </c>
      <c r="J52" s="194">
        <f t="shared" si="0"/>
        <v>1294111.3829306108</v>
      </c>
      <c r="K52" s="186">
        <f t="shared" si="8"/>
        <v>74289.616026403848</v>
      </c>
      <c r="L52" s="186">
        <f t="shared" si="1"/>
        <v>117878217.26120524</v>
      </c>
      <c r="M52" s="194">
        <f t="shared" si="11"/>
        <v>-53314.533108508702</v>
      </c>
      <c r="N52" s="194" t="e">
        <f ca="1">+-VLOOKUP(D52,#REF!,3,0)*L51</f>
        <v>#REF!</v>
      </c>
      <c r="O52" s="194">
        <f t="shared" si="12"/>
        <v>-170190.67095</v>
      </c>
      <c r="P52" s="195">
        <f t="shared" si="13"/>
        <v>34</v>
      </c>
      <c r="Q52" s="198">
        <f t="shared" si="2"/>
        <v>-1591906.2030155233</v>
      </c>
      <c r="R52" s="136"/>
      <c r="W52" s="183"/>
      <c r="X52" s="196"/>
      <c r="Y52" s="188"/>
      <c r="Z52" s="136"/>
      <c r="AA52" s="188"/>
    </row>
    <row r="53" spans="3:27" s="130" customFormat="1" x14ac:dyDescent="0.3">
      <c r="C53" s="189">
        <f t="shared" ca="1" si="5"/>
        <v>46342</v>
      </c>
      <c r="D53" s="190">
        <f t="shared" ca="1" si="6"/>
        <v>29</v>
      </c>
      <c r="E53" s="189">
        <f t="shared" ca="1" si="9"/>
        <v>46570</v>
      </c>
      <c r="F53" s="183" t="s">
        <v>40</v>
      </c>
      <c r="G53" s="183"/>
      <c r="H53" s="186">
        <f t="shared" si="7"/>
        <v>35</v>
      </c>
      <c r="I53" s="197">
        <f t="shared" si="10"/>
        <v>-1368400.9989570146</v>
      </c>
      <c r="J53" s="194">
        <f t="shared" si="0"/>
        <v>1293296.3172717404</v>
      </c>
      <c r="K53" s="186">
        <f t="shared" si="8"/>
        <v>75104.681685274234</v>
      </c>
      <c r="L53" s="186">
        <f t="shared" si="1"/>
        <v>117803112.57951997</v>
      </c>
      <c r="M53" s="194">
        <f t="shared" si="11"/>
        <v>-53280.954202064764</v>
      </c>
      <c r="N53" s="194" t="e">
        <f ca="1">+-VLOOKUP(D53,#REF!,3,0)*L52</f>
        <v>#REF!</v>
      </c>
      <c r="O53" s="194">
        <f t="shared" si="12"/>
        <v>-170190.67095</v>
      </c>
      <c r="P53" s="195">
        <f t="shared" si="13"/>
        <v>35</v>
      </c>
      <c r="Q53" s="198">
        <f t="shared" si="2"/>
        <v>-1591872.6241090794</v>
      </c>
      <c r="R53" s="136"/>
      <c r="W53" s="183" t="s">
        <v>99</v>
      </c>
      <c r="X53" s="196"/>
      <c r="Y53" s="188"/>
      <c r="Z53" s="136"/>
      <c r="AA53" s="188"/>
    </row>
    <row r="54" spans="3:27" s="130" customFormat="1" x14ac:dyDescent="0.3">
      <c r="C54" s="189">
        <f t="shared" ca="1" si="5"/>
        <v>46342</v>
      </c>
      <c r="D54" s="190">
        <f t="shared" ca="1" si="6"/>
        <v>29</v>
      </c>
      <c r="E54" s="189">
        <f t="shared" ca="1" si="9"/>
        <v>46601</v>
      </c>
      <c r="F54" s="183" t="s">
        <v>41</v>
      </c>
      <c r="G54" s="183"/>
      <c r="H54" s="186">
        <f t="shared" si="7"/>
        <v>36</v>
      </c>
      <c r="I54" s="197">
        <f t="shared" si="10"/>
        <v>-1368400.9989570146</v>
      </c>
      <c r="J54" s="194">
        <f t="shared" si="0"/>
        <v>1292472.309151409</v>
      </c>
      <c r="K54" s="186">
        <f t="shared" si="8"/>
        <v>75928.689805605682</v>
      </c>
      <c r="L54" s="186">
        <f t="shared" si="1"/>
        <v>117727183.88971436</v>
      </c>
      <c r="M54" s="194">
        <f t="shared" si="11"/>
        <v>-53247.006885943025</v>
      </c>
      <c r="N54" s="194" t="e">
        <f ca="1">+-VLOOKUP(D54,#REF!,3,0)*L53</f>
        <v>#REF!</v>
      </c>
      <c r="O54" s="194">
        <f t="shared" si="12"/>
        <v>-170190.67095</v>
      </c>
      <c r="P54" s="195">
        <f t="shared" si="13"/>
        <v>36</v>
      </c>
      <c r="Q54" s="198">
        <f t="shared" si="2"/>
        <v>-1591838.6767929576</v>
      </c>
      <c r="R54" s="136">
        <f>+AVERAGE(L42:L53)</f>
        <v>118201604.07559319</v>
      </c>
      <c r="S54" s="136">
        <f>+SUM(Q43:Q54)</f>
        <v>-19104225.539390195</v>
      </c>
      <c r="T54" s="136">
        <f>+SUM(J43:J54)</f>
        <v>15562132.11889703</v>
      </c>
      <c r="U54" s="136">
        <f>+-SUM(M43:M54)</f>
        <v>641125.50050601747</v>
      </c>
      <c r="V54" s="136">
        <f>+SUM(K43:K54)</f>
        <v>858679.86858714512</v>
      </c>
      <c r="W54" s="136">
        <f>+U54+T54</f>
        <v>16203257.619403047</v>
      </c>
      <c r="X54" s="199">
        <f>+W54/R54</f>
        <v>0.13708153748100252</v>
      </c>
      <c r="Y54" s="199">
        <f>+X54/12</f>
        <v>1.142346145675021E-2</v>
      </c>
      <c r="Z54" s="167">
        <f>+(1+Y54)^(12)-1</f>
        <v>0.14603078033888717</v>
      </c>
      <c r="AA54" s="188"/>
    </row>
    <row r="55" spans="3:27" s="130" customFormat="1" x14ac:dyDescent="0.3">
      <c r="C55" s="189">
        <f t="shared" ca="1" si="5"/>
        <v>46342</v>
      </c>
      <c r="D55" s="190">
        <f t="shared" ca="1" si="6"/>
        <v>29</v>
      </c>
      <c r="E55" s="189">
        <f t="shared" ca="1" si="9"/>
        <v>46632</v>
      </c>
      <c r="F55" s="183" t="s">
        <v>42</v>
      </c>
      <c r="G55" s="183"/>
      <c r="H55" s="186">
        <f t="shared" si="7"/>
        <v>37</v>
      </c>
      <c r="I55" s="197">
        <f t="shared" si="10"/>
        <v>-1368400.9989570146</v>
      </c>
      <c r="J55" s="194">
        <f t="shared" si="0"/>
        <v>1291639.2604577453</v>
      </c>
      <c r="K55" s="186">
        <f t="shared" si="8"/>
        <v>76761.738499269355</v>
      </c>
      <c r="L55" s="186">
        <f t="shared" si="1"/>
        <v>117650422.15121509</v>
      </c>
      <c r="M55" s="194">
        <f t="shared" si="11"/>
        <v>-53212.68711815089</v>
      </c>
      <c r="N55" s="194" t="e">
        <f ca="1">+-VLOOKUP(D55,#REF!,3,0)*L54</f>
        <v>#REF!</v>
      </c>
      <c r="O55" s="194">
        <f t="shared" si="12"/>
        <v>-170190.67095</v>
      </c>
      <c r="P55" s="195">
        <f t="shared" si="13"/>
        <v>37</v>
      </c>
      <c r="Q55" s="198">
        <f t="shared" si="2"/>
        <v>-1591804.3570251656</v>
      </c>
      <c r="R55" s="136"/>
      <c r="W55" s="183"/>
      <c r="X55" s="196"/>
      <c r="Y55" s="188"/>
      <c r="Z55" s="136"/>
      <c r="AA55" s="188"/>
    </row>
    <row r="56" spans="3:27" s="130" customFormat="1" x14ac:dyDescent="0.3">
      <c r="C56" s="189">
        <f t="shared" ca="1" si="5"/>
        <v>46342</v>
      </c>
      <c r="D56" s="190">
        <f t="shared" ca="1" si="6"/>
        <v>29</v>
      </c>
      <c r="E56" s="189">
        <f t="shared" ca="1" si="9"/>
        <v>46662</v>
      </c>
      <c r="F56" s="183" t="s">
        <v>43</v>
      </c>
      <c r="G56" s="183"/>
      <c r="H56" s="186">
        <f t="shared" si="7"/>
        <v>38</v>
      </c>
      <c r="I56" s="197">
        <f t="shared" si="10"/>
        <v>-1368400.9989570146</v>
      </c>
      <c r="J56" s="194">
        <f t="shared" si="0"/>
        <v>1290797.0720024474</v>
      </c>
      <c r="K56" s="186">
        <f t="shared" si="8"/>
        <v>77603.9269545672</v>
      </c>
      <c r="L56" s="186">
        <f t="shared" si="1"/>
        <v>117572818.22426052</v>
      </c>
      <c r="M56" s="194">
        <f t="shared" si="11"/>
        <v>-53177.990812349221</v>
      </c>
      <c r="N56" s="194" t="e">
        <f ca="1">+-VLOOKUP(D56,#REF!,3,0)*L55</f>
        <v>#REF!</v>
      </c>
      <c r="O56" s="194">
        <f t="shared" si="12"/>
        <v>-170190.67095</v>
      </c>
      <c r="P56" s="195">
        <f t="shared" si="13"/>
        <v>38</v>
      </c>
      <c r="Q56" s="198">
        <f t="shared" si="2"/>
        <v>-1591769.6607193637</v>
      </c>
      <c r="R56" s="136"/>
      <c r="W56" s="183"/>
      <c r="X56" s="196"/>
      <c r="Y56" s="188"/>
      <c r="Z56" s="136"/>
      <c r="AA56" s="188"/>
    </row>
    <row r="57" spans="3:27" s="130" customFormat="1" x14ac:dyDescent="0.3">
      <c r="C57" s="189">
        <f t="shared" ca="1" si="5"/>
        <v>46342</v>
      </c>
      <c r="D57" s="190">
        <f t="shared" ca="1" si="6"/>
        <v>29</v>
      </c>
      <c r="E57" s="189">
        <f t="shared" ca="1" si="9"/>
        <v>46693</v>
      </c>
      <c r="F57" s="183" t="s">
        <v>44</v>
      </c>
      <c r="G57" s="183"/>
      <c r="H57" s="186">
        <f t="shared" si="7"/>
        <v>39</v>
      </c>
      <c r="I57" s="197">
        <f t="shared" si="10"/>
        <v>-1368400.9989570146</v>
      </c>
      <c r="J57" s="194">
        <f t="shared" si="0"/>
        <v>1289945.6435089728</v>
      </c>
      <c r="K57" s="186">
        <f t="shared" si="8"/>
        <v>78455.35544804181</v>
      </c>
      <c r="L57" s="186">
        <f t="shared" si="1"/>
        <v>117494362.86881249</v>
      </c>
      <c r="M57" s="194">
        <f t="shared" si="11"/>
        <v>-53142.913837365755</v>
      </c>
      <c r="N57" s="194" t="e">
        <f ca="1">+-VLOOKUP(D57,#REF!,3,0)*L56</f>
        <v>#REF!</v>
      </c>
      <c r="O57" s="194">
        <f t="shared" si="12"/>
        <v>-170190.67095</v>
      </c>
      <c r="P57" s="195">
        <f t="shared" si="13"/>
        <v>39</v>
      </c>
      <c r="Q57" s="198">
        <f t="shared" si="2"/>
        <v>-1591734.5837443804</v>
      </c>
      <c r="R57" s="136"/>
      <c r="W57" s="183"/>
      <c r="X57" s="196"/>
      <c r="Y57" s="188"/>
      <c r="Z57" s="136"/>
      <c r="AA57" s="188"/>
    </row>
    <row r="58" spans="3:27" s="130" customFormat="1" x14ac:dyDescent="0.3">
      <c r="C58" s="189">
        <f t="shared" ca="1" si="5"/>
        <v>46707</v>
      </c>
      <c r="D58" s="190">
        <f t="shared" ca="1" si="6"/>
        <v>30</v>
      </c>
      <c r="E58" s="189">
        <f t="shared" ca="1" si="9"/>
        <v>46723</v>
      </c>
      <c r="F58" s="183" t="s">
        <v>45</v>
      </c>
      <c r="G58" s="183"/>
      <c r="H58" s="186">
        <f t="shared" si="7"/>
        <v>40</v>
      </c>
      <c r="I58" s="197">
        <f t="shared" si="10"/>
        <v>-1368400.9989570146</v>
      </c>
      <c r="J58" s="194">
        <f t="shared" si="0"/>
        <v>1289084.8736005991</v>
      </c>
      <c r="K58" s="186">
        <f t="shared" si="8"/>
        <v>79316.125356415519</v>
      </c>
      <c r="L58" s="186">
        <f t="shared" si="1"/>
        <v>117415046.74345607</v>
      </c>
      <c r="M58" s="194">
        <f t="shared" si="11"/>
        <v>-53107.452016703239</v>
      </c>
      <c r="N58" s="194" t="e">
        <f ca="1">+-VLOOKUP(D58,#REF!,3,0)*L57</f>
        <v>#REF!</v>
      </c>
      <c r="O58" s="194">
        <f t="shared" si="12"/>
        <v>-170190.67095</v>
      </c>
      <c r="P58" s="195">
        <f t="shared" si="13"/>
        <v>40</v>
      </c>
      <c r="Q58" s="198">
        <f t="shared" si="2"/>
        <v>-1591699.1219237179</v>
      </c>
      <c r="R58" s="136"/>
      <c r="W58" s="183"/>
      <c r="X58" s="196"/>
      <c r="Y58" s="188"/>
      <c r="Z58" s="136"/>
      <c r="AA58" s="188"/>
    </row>
    <row r="59" spans="3:27" s="130" customFormat="1" x14ac:dyDescent="0.3">
      <c r="C59" s="189">
        <f t="shared" ca="1" si="5"/>
        <v>46707</v>
      </c>
      <c r="D59" s="190">
        <f t="shared" ca="1" si="6"/>
        <v>30</v>
      </c>
      <c r="E59" s="189">
        <f t="shared" ca="1" si="9"/>
        <v>46754</v>
      </c>
      <c r="F59" s="183" t="s">
        <v>46</v>
      </c>
      <c r="G59" s="183"/>
      <c r="H59" s="186">
        <f t="shared" si="7"/>
        <v>41</v>
      </c>
      <c r="I59" s="197">
        <f t="shared" si="10"/>
        <v>-1368400.9989570146</v>
      </c>
      <c r="J59" s="194">
        <f t="shared" si="0"/>
        <v>1288214.6597883524</v>
      </c>
      <c r="K59" s="186">
        <f t="shared" si="8"/>
        <v>80186.339168662205</v>
      </c>
      <c r="L59" s="186">
        <f t="shared" si="1"/>
        <v>117334860.4042874</v>
      </c>
      <c r="M59" s="194">
        <f t="shared" si="11"/>
        <v>-53071.601128042137</v>
      </c>
      <c r="N59" s="194" t="e">
        <f ca="1">+-VLOOKUP(D59,#REF!,3,0)*L58</f>
        <v>#REF!</v>
      </c>
      <c r="O59" s="194">
        <f t="shared" si="12"/>
        <v>-170190.67095</v>
      </c>
      <c r="P59" s="195">
        <f t="shared" si="13"/>
        <v>41</v>
      </c>
      <c r="Q59" s="198">
        <f t="shared" si="2"/>
        <v>-1591663.2710350568</v>
      </c>
      <c r="R59" s="136"/>
      <c r="W59" s="183"/>
      <c r="X59" s="196"/>
      <c r="Y59" s="188"/>
      <c r="Z59" s="136"/>
      <c r="AA59" s="188"/>
    </row>
    <row r="60" spans="3:27" s="130" customFormat="1" x14ac:dyDescent="0.3">
      <c r="C60" s="189">
        <f t="shared" ca="1" si="5"/>
        <v>46707</v>
      </c>
      <c r="D60" s="190">
        <f t="shared" ca="1" si="6"/>
        <v>30</v>
      </c>
      <c r="E60" s="189">
        <f t="shared" ca="1" si="9"/>
        <v>46785</v>
      </c>
      <c r="F60" s="183" t="s">
        <v>47</v>
      </c>
      <c r="G60" s="183"/>
      <c r="H60" s="186">
        <f t="shared" si="7"/>
        <v>42</v>
      </c>
      <c r="I60" s="197">
        <f t="shared" si="10"/>
        <v>-1368400.9989570146</v>
      </c>
      <c r="J60" s="194">
        <f t="shared" si="0"/>
        <v>1287334.8984588054</v>
      </c>
      <c r="K60" s="186">
        <f t="shared" si="8"/>
        <v>81066.100498209242</v>
      </c>
      <c r="L60" s="186">
        <f t="shared" si="1"/>
        <v>117253794.30378918</v>
      </c>
      <c r="M60" s="194">
        <f t="shared" si="11"/>
        <v>-53035.356902737905</v>
      </c>
      <c r="N60" s="194" t="e">
        <f ca="1">+-VLOOKUP(D60,#REF!,3,0)*L59</f>
        <v>#REF!</v>
      </c>
      <c r="O60" s="194">
        <f t="shared" si="12"/>
        <v>-170190.67095</v>
      </c>
      <c r="P60" s="195">
        <f t="shared" si="13"/>
        <v>42</v>
      </c>
      <c r="Q60" s="198">
        <f t="shared" si="2"/>
        <v>-1591627.0268097525</v>
      </c>
      <c r="R60" s="136"/>
      <c r="W60" s="183"/>
      <c r="X60" s="196"/>
      <c r="Y60" s="188"/>
      <c r="Z60" s="136"/>
      <c r="AA60" s="188"/>
    </row>
    <row r="61" spans="3:27" s="130" customFormat="1" x14ac:dyDescent="0.3">
      <c r="C61" s="189">
        <f t="shared" ca="1" si="5"/>
        <v>46707</v>
      </c>
      <c r="D61" s="190">
        <f t="shared" ca="1" si="6"/>
        <v>30</v>
      </c>
      <c r="E61" s="189">
        <f t="shared" ca="1" si="9"/>
        <v>46814</v>
      </c>
      <c r="F61" s="183" t="s">
        <v>48</v>
      </c>
      <c r="G61" s="183"/>
      <c r="H61" s="186">
        <f t="shared" si="7"/>
        <v>43</v>
      </c>
      <c r="I61" s="197">
        <f t="shared" si="10"/>
        <v>-1368400.9989570146</v>
      </c>
      <c r="J61" s="194">
        <f t="shared" si="0"/>
        <v>1286445.4848617401</v>
      </c>
      <c r="K61" s="186">
        <f t="shared" si="8"/>
        <v>81955.514095274499</v>
      </c>
      <c r="L61" s="186">
        <f t="shared" si="1"/>
        <v>117171838.78969391</v>
      </c>
      <c r="M61" s="194">
        <f t="shared" si="11"/>
        <v>-52998.715025312711</v>
      </c>
      <c r="N61" s="194" t="e">
        <f ca="1">+-VLOOKUP(D61,#REF!,3,0)*L60</f>
        <v>#REF!</v>
      </c>
      <c r="O61" s="194">
        <f t="shared" si="12"/>
        <v>-170190.67095</v>
      </c>
      <c r="P61" s="195">
        <f t="shared" si="13"/>
        <v>43</v>
      </c>
      <c r="Q61" s="198">
        <f t="shared" si="2"/>
        <v>-1591590.3849323273</v>
      </c>
      <c r="R61" s="136"/>
      <c r="W61" s="183"/>
      <c r="X61" s="196"/>
      <c r="Y61" s="188"/>
      <c r="Z61" s="136"/>
      <c r="AA61" s="188"/>
    </row>
    <row r="62" spans="3:27" s="130" customFormat="1" x14ac:dyDescent="0.3">
      <c r="C62" s="189">
        <f t="shared" ca="1" si="5"/>
        <v>46707</v>
      </c>
      <c r="D62" s="190">
        <f t="shared" ca="1" si="6"/>
        <v>30</v>
      </c>
      <c r="E62" s="189">
        <f t="shared" ca="1" si="9"/>
        <v>46845</v>
      </c>
      <c r="F62" s="183" t="s">
        <v>49</v>
      </c>
      <c r="G62" s="183"/>
      <c r="H62" s="186">
        <f t="shared" si="7"/>
        <v>44</v>
      </c>
      <c r="I62" s="197">
        <f t="shared" si="10"/>
        <v>-1368400.9989570146</v>
      </c>
      <c r="J62" s="194">
        <f t="shared" si="0"/>
        <v>1285546.3130976758</v>
      </c>
      <c r="K62" s="186">
        <f t="shared" si="8"/>
        <v>82854.685859338846</v>
      </c>
      <c r="L62" s="186">
        <f t="shared" si="1"/>
        <v>117088984.10383457</v>
      </c>
      <c r="M62" s="194">
        <f t="shared" si="11"/>
        <v>-52961.671132941643</v>
      </c>
      <c r="N62" s="194" t="e">
        <f ca="1">+-VLOOKUP(D62,#REF!,3,0)*L61</f>
        <v>#REF!</v>
      </c>
      <c r="O62" s="194">
        <f t="shared" si="12"/>
        <v>-170190.67095</v>
      </c>
      <c r="P62" s="195">
        <f t="shared" si="13"/>
        <v>44</v>
      </c>
      <c r="Q62" s="198">
        <f t="shared" si="2"/>
        <v>-1591553.3410399563</v>
      </c>
      <c r="R62" s="136"/>
      <c r="W62" s="183"/>
      <c r="X62" s="196"/>
      <c r="Y62" s="188"/>
      <c r="Z62" s="136"/>
      <c r="AA62" s="188"/>
    </row>
    <row r="63" spans="3:27" s="130" customFormat="1" x14ac:dyDescent="0.3">
      <c r="C63" s="189">
        <f t="shared" ca="1" si="5"/>
        <v>46707</v>
      </c>
      <c r="D63" s="190">
        <f t="shared" ca="1" si="6"/>
        <v>30</v>
      </c>
      <c r="E63" s="189">
        <f t="shared" ca="1" si="9"/>
        <v>46875</v>
      </c>
      <c r="F63" s="183" t="s">
        <v>50</v>
      </c>
      <c r="G63" s="183"/>
      <c r="H63" s="186">
        <f t="shared" si="7"/>
        <v>45</v>
      </c>
      <c r="I63" s="197">
        <f t="shared" si="10"/>
        <v>-1368400.9989570146</v>
      </c>
      <c r="J63" s="194">
        <f t="shared" si="0"/>
        <v>1284637.2761052588</v>
      </c>
      <c r="K63" s="186">
        <f t="shared" si="8"/>
        <v>83763.722851755796</v>
      </c>
      <c r="L63" s="186">
        <f t="shared" si="1"/>
        <v>117005220.38098282</v>
      </c>
      <c r="M63" s="194">
        <f t="shared" si="11"/>
        <v>-52924.220814933222</v>
      </c>
      <c r="N63" s="194" t="e">
        <f ca="1">+-VLOOKUP(D63,#REF!,3,0)*L62</f>
        <v>#REF!</v>
      </c>
      <c r="O63" s="194">
        <f t="shared" si="12"/>
        <v>-170190.67095</v>
      </c>
      <c r="P63" s="195">
        <f t="shared" si="13"/>
        <v>45</v>
      </c>
      <c r="Q63" s="198">
        <f t="shared" si="2"/>
        <v>-1591515.8907219479</v>
      </c>
      <c r="R63" s="136"/>
      <c r="W63" s="183"/>
      <c r="X63" s="196"/>
      <c r="Y63" s="188"/>
      <c r="Z63" s="136"/>
      <c r="AA63" s="188"/>
    </row>
    <row r="64" spans="3:27" s="130" customFormat="1" x14ac:dyDescent="0.3">
      <c r="C64" s="189">
        <f t="shared" ca="1" si="5"/>
        <v>46707</v>
      </c>
      <c r="D64" s="190">
        <f t="shared" ca="1" si="6"/>
        <v>30</v>
      </c>
      <c r="E64" s="189">
        <f t="shared" ca="1" si="9"/>
        <v>46906</v>
      </c>
      <c r="F64" s="183" t="s">
        <v>51</v>
      </c>
      <c r="G64" s="183"/>
      <c r="H64" s="186">
        <f t="shared" si="7"/>
        <v>46</v>
      </c>
      <c r="I64" s="197">
        <f t="shared" si="10"/>
        <v>-1368400.9989570146</v>
      </c>
      <c r="J64" s="194">
        <f t="shared" si="0"/>
        <v>1283718.2656485171</v>
      </c>
      <c r="K64" s="186">
        <f t="shared" si="8"/>
        <v>84682.733308497583</v>
      </c>
      <c r="L64" s="186">
        <f t="shared" si="1"/>
        <v>116920537.64767432</v>
      </c>
      <c r="M64" s="194">
        <f t="shared" si="11"/>
        <v>-52886.359612204229</v>
      </c>
      <c r="N64" s="194" t="e">
        <f ca="1">+-VLOOKUP(D64,#REF!,3,0)*L63</f>
        <v>#REF!</v>
      </c>
      <c r="O64" s="194">
        <f t="shared" si="12"/>
        <v>-170190.67095</v>
      </c>
      <c r="P64" s="195">
        <f t="shared" si="13"/>
        <v>46</v>
      </c>
      <c r="Q64" s="198">
        <f t="shared" si="2"/>
        <v>-1591478.0295192187</v>
      </c>
      <c r="R64" s="136"/>
      <c r="W64" s="183"/>
      <c r="X64" s="196"/>
      <c r="Y64" s="188"/>
      <c r="Z64" s="136"/>
      <c r="AA64" s="188"/>
    </row>
    <row r="65" spans="3:27" s="130" customFormat="1" x14ac:dyDescent="0.3">
      <c r="C65" s="189">
        <f t="shared" ca="1" si="5"/>
        <v>46707</v>
      </c>
      <c r="D65" s="190">
        <f t="shared" ca="1" si="6"/>
        <v>30</v>
      </c>
      <c r="E65" s="189">
        <f t="shared" ca="1" si="9"/>
        <v>46936</v>
      </c>
      <c r="F65" s="183" t="s">
        <v>52</v>
      </c>
      <c r="G65" s="183"/>
      <c r="H65" s="186">
        <f t="shared" si="7"/>
        <v>47</v>
      </c>
      <c r="I65" s="197">
        <f t="shared" si="10"/>
        <v>-1368400.9989570146</v>
      </c>
      <c r="J65" s="194">
        <f t="shared" si="0"/>
        <v>1282789.1723039707</v>
      </c>
      <c r="K65" s="186">
        <f t="shared" si="8"/>
        <v>85611.826653043972</v>
      </c>
      <c r="L65" s="186">
        <f t="shared" si="1"/>
        <v>116834925.82102127</v>
      </c>
      <c r="M65" s="194">
        <f t="shared" si="11"/>
        <v>-52848.083016748795</v>
      </c>
      <c r="N65" s="194" t="e">
        <f ca="1">+-VLOOKUP(D65,#REF!,3,0)*L64</f>
        <v>#REF!</v>
      </c>
      <c r="O65" s="194">
        <f t="shared" si="12"/>
        <v>-170190.67095</v>
      </c>
      <c r="P65" s="195">
        <f t="shared" si="13"/>
        <v>47</v>
      </c>
      <c r="Q65" s="198">
        <f t="shared" si="2"/>
        <v>-1591439.7529237634</v>
      </c>
      <c r="R65" s="136"/>
      <c r="W65" s="183" t="s">
        <v>99</v>
      </c>
      <c r="X65" s="196"/>
      <c r="Y65" s="188"/>
      <c r="Z65" s="136"/>
      <c r="AA65" s="188"/>
    </row>
    <row r="66" spans="3:27" s="130" customFormat="1" x14ac:dyDescent="0.3">
      <c r="C66" s="189">
        <f t="shared" ca="1" si="5"/>
        <v>46707</v>
      </c>
      <c r="D66" s="190">
        <f t="shared" ca="1" si="6"/>
        <v>30</v>
      </c>
      <c r="E66" s="189">
        <f t="shared" ca="1" si="9"/>
        <v>46967</v>
      </c>
      <c r="F66" s="183" t="s">
        <v>53</v>
      </c>
      <c r="G66" s="183"/>
      <c r="H66" s="186">
        <f t="shared" si="7"/>
        <v>48</v>
      </c>
      <c r="I66" s="197">
        <f t="shared" si="10"/>
        <v>-1368400.9989570146</v>
      </c>
      <c r="J66" s="194">
        <f t="shared" si="0"/>
        <v>1281849.8854476046</v>
      </c>
      <c r="K66" s="186">
        <f t="shared" si="8"/>
        <v>86551.113509410061</v>
      </c>
      <c r="L66" s="186">
        <f t="shared" si="1"/>
        <v>116748374.70751186</v>
      </c>
      <c r="M66" s="194">
        <f t="shared" si="11"/>
        <v>-52809.386471101614</v>
      </c>
      <c r="N66" s="194" t="e">
        <f ca="1">+-VLOOKUP(D66,#REF!,3,0)*L65</f>
        <v>#REF!</v>
      </c>
      <c r="O66" s="194">
        <f t="shared" si="12"/>
        <v>-170190.67095</v>
      </c>
      <c r="P66" s="195">
        <f t="shared" si="13"/>
        <v>48</v>
      </c>
      <c r="Q66" s="198">
        <f t="shared" si="2"/>
        <v>-1591401.0563781161</v>
      </c>
      <c r="R66" s="136">
        <f>+AVERAGE(L54:L65)</f>
        <v>117289166.27739517</v>
      </c>
      <c r="S66" s="136">
        <f>+SUM(Q55:Q66)</f>
        <v>-19099276.476772767</v>
      </c>
      <c r="T66" s="136">
        <f>+SUM(J55:J66)</f>
        <v>15442002.805281691</v>
      </c>
      <c r="U66" s="136">
        <f>+-SUM(M55:M66)</f>
        <v>636176.43788859143</v>
      </c>
      <c r="V66" s="136">
        <f>+SUM(K55:K66)</f>
        <v>978809.18220248609</v>
      </c>
      <c r="W66" s="136">
        <f>+U66+T66</f>
        <v>16078179.243170282</v>
      </c>
      <c r="X66" s="199">
        <f>+W66/R66</f>
        <v>0.13708153748100252</v>
      </c>
      <c r="Y66" s="199">
        <f>+X66/12</f>
        <v>1.142346145675021E-2</v>
      </c>
      <c r="Z66" s="167">
        <f>+(1+Y66)^(12)-1</f>
        <v>0.14603078033888717</v>
      </c>
      <c r="AA66" s="188"/>
    </row>
    <row r="67" spans="3:27" s="130" customFormat="1" x14ac:dyDescent="0.3">
      <c r="C67" s="189">
        <f t="shared" ca="1" si="5"/>
        <v>46707</v>
      </c>
      <c r="D67" s="190">
        <f t="shared" ca="1" si="6"/>
        <v>30</v>
      </c>
      <c r="E67" s="189">
        <f t="shared" ca="1" si="9"/>
        <v>46998</v>
      </c>
      <c r="F67" s="183" t="s">
        <v>54</v>
      </c>
      <c r="G67" s="183"/>
      <c r="H67" s="186">
        <f t="shared" si="7"/>
        <v>49</v>
      </c>
      <c r="I67" s="197">
        <f t="shared" si="10"/>
        <v>-1368400.9989570146</v>
      </c>
      <c r="J67" s="194">
        <f t="shared" si="0"/>
        <v>1280900.2932416974</v>
      </c>
      <c r="K67" s="186">
        <f t="shared" si="8"/>
        <v>87500.705715317279</v>
      </c>
      <c r="L67" s="186">
        <f t="shared" si="1"/>
        <v>116660874.00179654</v>
      </c>
      <c r="M67" s="194">
        <f t="shared" si="11"/>
        <v>-52770.265367795357</v>
      </c>
      <c r="N67" s="194" t="e">
        <f ca="1">+-VLOOKUP(D67,#REF!,3,0)*L66</f>
        <v>#REF!</v>
      </c>
      <c r="O67" s="194">
        <f t="shared" si="12"/>
        <v>-170190.67095</v>
      </c>
      <c r="P67" s="195">
        <f t="shared" si="13"/>
        <v>49</v>
      </c>
      <c r="Q67" s="198">
        <f t="shared" si="2"/>
        <v>-1591361.9352748098</v>
      </c>
      <c r="R67" s="136"/>
      <c r="W67" s="183"/>
      <c r="X67" s="196"/>
      <c r="Y67" s="188"/>
      <c r="Z67" s="136"/>
      <c r="AA67" s="188"/>
    </row>
    <row r="68" spans="3:27" s="130" customFormat="1" x14ac:dyDescent="0.3">
      <c r="C68" s="189">
        <f t="shared" ca="1" si="5"/>
        <v>46707</v>
      </c>
      <c r="D68" s="190">
        <f t="shared" ca="1" si="6"/>
        <v>30</v>
      </c>
      <c r="E68" s="189">
        <f t="shared" ca="1" si="9"/>
        <v>47028</v>
      </c>
      <c r="F68" s="183" t="s">
        <v>55</v>
      </c>
      <c r="G68" s="183"/>
      <c r="H68" s="186">
        <f t="shared" si="7"/>
        <v>50</v>
      </c>
      <c r="I68" s="197">
        <f t="shared" si="10"/>
        <v>-1368400.9989570146</v>
      </c>
      <c r="J68" s="194">
        <f t="shared" si="0"/>
        <v>1279940.2826215033</v>
      </c>
      <c r="K68" s="186">
        <f t="shared" si="8"/>
        <v>88460.716335511301</v>
      </c>
      <c r="L68" s="186">
        <f t="shared" si="1"/>
        <v>116572413.28546104</v>
      </c>
      <c r="M68" s="194">
        <f t="shared" si="11"/>
        <v>-52730.715048812039</v>
      </c>
      <c r="N68" s="194" t="e">
        <f ca="1">+-VLOOKUP(D68,#REF!,3,0)*L67</f>
        <v>#REF!</v>
      </c>
      <c r="O68" s="194">
        <f t="shared" si="12"/>
        <v>-170190.67095</v>
      </c>
      <c r="P68" s="195">
        <f t="shared" si="13"/>
        <v>50</v>
      </c>
      <c r="Q68" s="198">
        <f t="shared" si="2"/>
        <v>-1591322.3849558267</v>
      </c>
      <c r="R68" s="136"/>
      <c r="W68" s="183"/>
      <c r="X68" s="196"/>
      <c r="Y68" s="188"/>
      <c r="Z68" s="136"/>
      <c r="AA68" s="188"/>
    </row>
    <row r="69" spans="3:27" s="130" customFormat="1" x14ac:dyDescent="0.3">
      <c r="C69" s="189">
        <f t="shared" ca="1" si="5"/>
        <v>46707</v>
      </c>
      <c r="D69" s="190">
        <f t="shared" ca="1" si="6"/>
        <v>30</v>
      </c>
      <c r="E69" s="189">
        <f t="shared" ca="1" si="9"/>
        <v>47059</v>
      </c>
      <c r="F69" s="183" t="s">
        <v>56</v>
      </c>
      <c r="G69" s="183"/>
      <c r="H69" s="186">
        <f t="shared" si="7"/>
        <v>51</v>
      </c>
      <c r="I69" s="197">
        <f t="shared" si="10"/>
        <v>-1368400.9989570146</v>
      </c>
      <c r="J69" s="194">
        <f t="shared" si="0"/>
        <v>1278969.7392817917</v>
      </c>
      <c r="K69" s="186">
        <f t="shared" si="8"/>
        <v>89431.259675222915</v>
      </c>
      <c r="L69" s="186">
        <f t="shared" si="1"/>
        <v>116482982.02578582</v>
      </c>
      <c r="M69" s="194">
        <f t="shared" si="11"/>
        <v>-52690.73080502839</v>
      </c>
      <c r="N69" s="194" t="e">
        <f ca="1">+-VLOOKUP(D69,#REF!,3,0)*L68</f>
        <v>#REF!</v>
      </c>
      <c r="O69" s="194">
        <f t="shared" si="12"/>
        <v>-170190.67095</v>
      </c>
      <c r="P69" s="195">
        <f t="shared" si="13"/>
        <v>51</v>
      </c>
      <c r="Q69" s="198">
        <f t="shared" si="2"/>
        <v>-1591282.400712043</v>
      </c>
      <c r="R69" s="136"/>
      <c r="W69" s="183"/>
      <c r="X69" s="196"/>
      <c r="Y69" s="188"/>
      <c r="Z69" s="136"/>
      <c r="AA69" s="188"/>
    </row>
    <row r="70" spans="3:27" s="130" customFormat="1" x14ac:dyDescent="0.3">
      <c r="C70" s="189">
        <f t="shared" ca="1" si="5"/>
        <v>47073</v>
      </c>
      <c r="D70" s="190">
        <f t="shared" ca="1" si="6"/>
        <v>31</v>
      </c>
      <c r="E70" s="189">
        <f t="shared" ca="1" si="9"/>
        <v>47089</v>
      </c>
      <c r="F70" s="183" t="s">
        <v>57</v>
      </c>
      <c r="G70" s="183"/>
      <c r="H70" s="186">
        <f t="shared" si="7"/>
        <v>52</v>
      </c>
      <c r="I70" s="197">
        <f t="shared" si="10"/>
        <v>-1368400.9989570146</v>
      </c>
      <c r="J70" s="194">
        <f t="shared" si="0"/>
        <v>1277988.5476632365</v>
      </c>
      <c r="K70" s="186">
        <f t="shared" si="8"/>
        <v>90412.45129377814</v>
      </c>
      <c r="L70" s="186">
        <f t="shared" si="1"/>
        <v>116392569.57449204</v>
      </c>
      <c r="M70" s="194">
        <f t="shared" si="11"/>
        <v>-52650.307875655191</v>
      </c>
      <c r="N70" s="194" t="e">
        <f ca="1">+-VLOOKUP(D70,#REF!,3,0)*L69</f>
        <v>#REF!</v>
      </c>
      <c r="O70" s="194">
        <f t="shared" si="12"/>
        <v>-170190.67095</v>
      </c>
      <c r="P70" s="195">
        <f t="shared" si="13"/>
        <v>52</v>
      </c>
      <c r="Q70" s="198">
        <f t="shared" si="2"/>
        <v>-1591241.9777826697</v>
      </c>
      <c r="R70" s="136"/>
      <c r="W70" s="183"/>
      <c r="X70" s="196"/>
      <c r="Y70" s="188"/>
      <c r="Z70" s="136"/>
      <c r="AA70" s="188"/>
    </row>
    <row r="71" spans="3:27" s="130" customFormat="1" x14ac:dyDescent="0.3">
      <c r="C71" s="189">
        <f t="shared" ca="1" si="5"/>
        <v>47073</v>
      </c>
      <c r="D71" s="190">
        <f t="shared" ca="1" si="6"/>
        <v>31</v>
      </c>
      <c r="E71" s="189">
        <f t="shared" ca="1" si="9"/>
        <v>47120</v>
      </c>
      <c r="F71" s="183" t="s">
        <v>58</v>
      </c>
      <c r="G71" s="183"/>
      <c r="H71" s="186">
        <f t="shared" si="7"/>
        <v>53</v>
      </c>
      <c r="I71" s="197">
        <f t="shared" si="10"/>
        <v>-1368400.9989570146</v>
      </c>
      <c r="J71" s="194">
        <f t="shared" si="0"/>
        <v>1276996.5909386564</v>
      </c>
      <c r="K71" s="186">
        <f t="shared" si="8"/>
        <v>91404.408018358285</v>
      </c>
      <c r="L71" s="186">
        <f t="shared" si="1"/>
        <v>116301165.16647367</v>
      </c>
      <c r="M71" s="194">
        <f t="shared" si="11"/>
        <v>-52609.441447670397</v>
      </c>
      <c r="N71" s="194" t="e">
        <f ca="1">+-VLOOKUP(D71,#REF!,3,0)*L70</f>
        <v>#REF!</v>
      </c>
      <c r="O71" s="194">
        <f t="shared" si="12"/>
        <v>-170190.67095</v>
      </c>
      <c r="P71" s="195">
        <f t="shared" si="13"/>
        <v>53</v>
      </c>
      <c r="Q71" s="198">
        <f t="shared" si="2"/>
        <v>-1591201.1113546849</v>
      </c>
      <c r="R71" s="136"/>
      <c r="W71" s="183"/>
      <c r="X71" s="196"/>
      <c r="Y71" s="188"/>
      <c r="Z71" s="136"/>
      <c r="AA71" s="188"/>
    </row>
    <row r="72" spans="3:27" s="130" customFormat="1" x14ac:dyDescent="0.3">
      <c r="C72" s="189">
        <f t="shared" ca="1" si="5"/>
        <v>47073</v>
      </c>
      <c r="D72" s="190">
        <f t="shared" ca="1" si="6"/>
        <v>31</v>
      </c>
      <c r="E72" s="189">
        <f t="shared" ca="1" si="9"/>
        <v>47151</v>
      </c>
      <c r="F72" s="183" t="s">
        <v>59</v>
      </c>
      <c r="G72" s="183"/>
      <c r="H72" s="186">
        <f t="shared" si="7"/>
        <v>54</v>
      </c>
      <c r="I72" s="197">
        <f t="shared" si="10"/>
        <v>-1368400.9989570146</v>
      </c>
      <c r="J72" s="194">
        <f t="shared" si="0"/>
        <v>1275993.7509991059</v>
      </c>
      <c r="K72" s="186">
        <f t="shared" si="8"/>
        <v>92407.247957908781</v>
      </c>
      <c r="L72" s="186">
        <f t="shared" si="1"/>
        <v>116208757.91851576</v>
      </c>
      <c r="M72" s="194">
        <f t="shared" si="11"/>
        <v>-52568.126655246095</v>
      </c>
      <c r="N72" s="194" t="e">
        <f ca="1">+-VLOOKUP(D72,#REF!,3,0)*L71</f>
        <v>#REF!</v>
      </c>
      <c r="O72" s="194">
        <f t="shared" si="12"/>
        <v>-170190.67095</v>
      </c>
      <c r="P72" s="195">
        <f t="shared" si="13"/>
        <v>54</v>
      </c>
      <c r="Q72" s="198">
        <f t="shared" si="2"/>
        <v>-1591159.7965622607</v>
      </c>
      <c r="R72" s="136"/>
      <c r="W72" s="183"/>
      <c r="X72" s="196"/>
      <c r="Y72" s="188"/>
      <c r="Z72" s="136"/>
      <c r="AA72" s="188"/>
    </row>
    <row r="73" spans="3:27" s="130" customFormat="1" x14ac:dyDescent="0.3">
      <c r="C73" s="189">
        <f t="shared" ca="1" si="5"/>
        <v>47073</v>
      </c>
      <c r="D73" s="190">
        <f t="shared" ca="1" si="6"/>
        <v>31</v>
      </c>
      <c r="E73" s="189">
        <f t="shared" ca="1" si="9"/>
        <v>47179</v>
      </c>
      <c r="F73" s="183" t="s">
        <v>60</v>
      </c>
      <c r="G73" s="183"/>
      <c r="H73" s="186">
        <f t="shared" si="7"/>
        <v>55</v>
      </c>
      <c r="I73" s="197">
        <f t="shared" si="10"/>
        <v>-1368400.9989570146</v>
      </c>
      <c r="J73" s="194">
        <f t="shared" si="0"/>
        <v>1274979.9084398113</v>
      </c>
      <c r="K73" s="186">
        <f t="shared" si="8"/>
        <v>93421.090517203324</v>
      </c>
      <c r="L73" s="186">
        <f t="shared" si="1"/>
        <v>116115336.82799855</v>
      </c>
      <c r="M73" s="194">
        <f t="shared" si="11"/>
        <v>-52526.358579169122</v>
      </c>
      <c r="N73" s="194" t="e">
        <f ca="1">+-VLOOKUP(D73,#REF!,3,0)*L72</f>
        <v>#REF!</v>
      </c>
      <c r="O73" s="194">
        <f t="shared" si="12"/>
        <v>-170190.67095</v>
      </c>
      <c r="P73" s="195">
        <f t="shared" si="13"/>
        <v>55</v>
      </c>
      <c r="Q73" s="198">
        <f t="shared" si="2"/>
        <v>-1591118.0284861836</v>
      </c>
      <c r="R73" s="136"/>
      <c r="W73" s="183"/>
      <c r="X73" s="196"/>
      <c r="Y73" s="188"/>
      <c r="Z73" s="136"/>
      <c r="AA73" s="188"/>
    </row>
    <row r="74" spans="3:27" s="130" customFormat="1" x14ac:dyDescent="0.3">
      <c r="C74" s="189">
        <f t="shared" ca="1" si="5"/>
        <v>47073</v>
      </c>
      <c r="D74" s="190">
        <f t="shared" ca="1" si="6"/>
        <v>31</v>
      </c>
      <c r="E74" s="189">
        <f t="shared" ca="1" si="9"/>
        <v>47210</v>
      </c>
      <c r="F74" s="183" t="s">
        <v>61</v>
      </c>
      <c r="G74" s="183"/>
      <c r="H74" s="186">
        <f t="shared" si="7"/>
        <v>56</v>
      </c>
      <c r="I74" s="197">
        <f t="shared" si="10"/>
        <v>-1368400.9989570146</v>
      </c>
      <c r="J74" s="194">
        <f t="shared" si="0"/>
        <v>1273954.9425459541</v>
      </c>
      <c r="K74" s="186">
        <f t="shared" si="8"/>
        <v>94446.056411060505</v>
      </c>
      <c r="L74" s="186">
        <f t="shared" si="1"/>
        <v>116020890.77158749</v>
      </c>
      <c r="M74" s="194">
        <f t="shared" si="11"/>
        <v>-52484.132246255343</v>
      </c>
      <c r="N74" s="194" t="e">
        <f ca="1">+-VLOOKUP(D74,#REF!,3,0)*L73</f>
        <v>#REF!</v>
      </c>
      <c r="O74" s="194">
        <f t="shared" si="12"/>
        <v>-170190.67095</v>
      </c>
      <c r="P74" s="195">
        <f t="shared" si="13"/>
        <v>56</v>
      </c>
      <c r="Q74" s="198">
        <f t="shared" si="2"/>
        <v>-1591075.80215327</v>
      </c>
      <c r="R74" s="136"/>
      <c r="W74" s="183"/>
      <c r="X74" s="196"/>
      <c r="Y74" s="188"/>
      <c r="Z74" s="136"/>
      <c r="AA74" s="188"/>
    </row>
    <row r="75" spans="3:27" s="130" customFormat="1" x14ac:dyDescent="0.3">
      <c r="C75" s="189">
        <f t="shared" ca="1" si="5"/>
        <v>47073</v>
      </c>
      <c r="D75" s="190">
        <f t="shared" ca="1" si="6"/>
        <v>31</v>
      </c>
      <c r="E75" s="189">
        <f t="shared" ca="1" si="9"/>
        <v>47240</v>
      </c>
      <c r="F75" s="183" t="s">
        <v>62</v>
      </c>
      <c r="G75" s="183"/>
      <c r="H75" s="186">
        <f t="shared" si="7"/>
        <v>57</v>
      </c>
      <c r="I75" s="197">
        <f t="shared" si="10"/>
        <v>-1368400.9989570146</v>
      </c>
      <c r="J75" s="194">
        <f t="shared" si="0"/>
        <v>1272918.7312782982</v>
      </c>
      <c r="K75" s="186">
        <f t="shared" si="8"/>
        <v>95482.267678716453</v>
      </c>
      <c r="L75" s="186">
        <f t="shared" si="1"/>
        <v>115925408.50390877</v>
      </c>
      <c r="M75" s="194">
        <f t="shared" si="11"/>
        <v>-52441.442628757541</v>
      </c>
      <c r="N75" s="194" t="e">
        <f ca="1">+-VLOOKUP(D75,#REF!,3,0)*L74</f>
        <v>#REF!</v>
      </c>
      <c r="O75" s="194">
        <f t="shared" si="12"/>
        <v>-170190.67095</v>
      </c>
      <c r="P75" s="195">
        <f t="shared" si="13"/>
        <v>57</v>
      </c>
      <c r="Q75" s="198">
        <f t="shared" si="2"/>
        <v>-1591033.1125357721</v>
      </c>
      <c r="R75" s="136"/>
      <c r="W75" s="183"/>
      <c r="X75" s="196"/>
      <c r="Y75" s="188"/>
      <c r="Z75" s="136"/>
      <c r="AA75" s="188"/>
    </row>
    <row r="76" spans="3:27" s="130" customFormat="1" x14ac:dyDescent="0.3">
      <c r="C76" s="189">
        <f t="shared" ca="1" si="5"/>
        <v>47073</v>
      </c>
      <c r="D76" s="190">
        <f t="shared" ca="1" si="6"/>
        <v>31</v>
      </c>
      <c r="E76" s="189">
        <f t="shared" ca="1" si="9"/>
        <v>47271</v>
      </c>
      <c r="F76" s="183" t="s">
        <v>63</v>
      </c>
      <c r="G76" s="183"/>
      <c r="H76" s="186">
        <f t="shared" si="7"/>
        <v>58</v>
      </c>
      <c r="I76" s="197">
        <f t="shared" si="10"/>
        <v>-1368400.9989570146</v>
      </c>
      <c r="J76" s="194">
        <f t="shared" si="0"/>
        <v>1271871.1512586579</v>
      </c>
      <c r="K76" s="186">
        <f t="shared" si="8"/>
        <v>96529.847698356723</v>
      </c>
      <c r="L76" s="186">
        <f t="shared" si="1"/>
        <v>115828878.65621041</v>
      </c>
      <c r="M76" s="194">
        <f t="shared" si="11"/>
        <v>-52398.284643766761</v>
      </c>
      <c r="N76" s="194" t="e">
        <f ca="1">+-VLOOKUP(D76,#REF!,3,0)*L75</f>
        <v>#REF!</v>
      </c>
      <c r="O76" s="194">
        <f t="shared" si="12"/>
        <v>-170190.67095</v>
      </c>
      <c r="P76" s="195">
        <f t="shared" si="13"/>
        <v>58</v>
      </c>
      <c r="Q76" s="198">
        <f t="shared" si="2"/>
        <v>-1590989.9545507813</v>
      </c>
      <c r="R76" s="136"/>
      <c r="W76" s="183"/>
      <c r="X76" s="196"/>
      <c r="Y76" s="188"/>
      <c r="Z76" s="136"/>
      <c r="AA76" s="188"/>
    </row>
    <row r="77" spans="3:27" s="130" customFormat="1" x14ac:dyDescent="0.3">
      <c r="C77" s="189">
        <f t="shared" ca="1" si="5"/>
        <v>47073</v>
      </c>
      <c r="D77" s="190">
        <f t="shared" ca="1" si="6"/>
        <v>31</v>
      </c>
      <c r="E77" s="189">
        <f t="shared" ca="1" si="9"/>
        <v>47301</v>
      </c>
      <c r="F77" s="183" t="s">
        <v>64</v>
      </c>
      <c r="G77" s="183"/>
      <c r="H77" s="186">
        <f t="shared" si="7"/>
        <v>59</v>
      </c>
      <c r="I77" s="197">
        <f t="shared" si="10"/>
        <v>-1368400.9989570146</v>
      </c>
      <c r="J77" s="194">
        <f t="shared" si="0"/>
        <v>1270812.0777552095</v>
      </c>
      <c r="K77" s="186">
        <f t="shared" si="8"/>
        <v>97588.921201805118</v>
      </c>
      <c r="L77" s="186">
        <f t="shared" si="1"/>
        <v>115731289.7350086</v>
      </c>
      <c r="M77" s="194">
        <f t="shared" si="11"/>
        <v>-52354.653152607105</v>
      </c>
      <c r="N77" s="194" t="e">
        <f ca="1">+-VLOOKUP(D77,#REF!,3,0)*L76</f>
        <v>#REF!</v>
      </c>
      <c r="O77" s="194">
        <f t="shared" si="12"/>
        <v>-170190.67095</v>
      </c>
      <c r="P77" s="195">
        <f t="shared" si="13"/>
        <v>59</v>
      </c>
      <c r="Q77" s="198">
        <f t="shared" si="2"/>
        <v>-1590946.3230596217</v>
      </c>
      <c r="R77" s="136"/>
      <c r="W77" s="183"/>
      <c r="X77" s="196"/>
      <c r="Y77" s="188"/>
      <c r="Z77" s="136"/>
      <c r="AA77" s="188"/>
    </row>
    <row r="78" spans="3:27" s="130" customFormat="1" x14ac:dyDescent="0.3">
      <c r="C78" s="189">
        <f t="shared" ca="1" si="5"/>
        <v>47073</v>
      </c>
      <c r="D78" s="190">
        <f t="shared" ca="1" si="6"/>
        <v>31</v>
      </c>
      <c r="E78" s="189">
        <f t="shared" ca="1" si="9"/>
        <v>47332</v>
      </c>
      <c r="F78" s="183" t="s">
        <v>65</v>
      </c>
      <c r="G78" s="183"/>
      <c r="H78" s="186">
        <f t="shared" si="7"/>
        <v>60</v>
      </c>
      <c r="I78" s="197">
        <f t="shared" si="10"/>
        <v>-1368400.9989570146</v>
      </c>
      <c r="J78" s="194">
        <f t="shared" si="0"/>
        <v>1269741.384667638</v>
      </c>
      <c r="K78" s="186">
        <f t="shared" si="8"/>
        <v>98659.614289376652</v>
      </c>
      <c r="L78" s="186">
        <f t="shared" si="1"/>
        <v>115632630.12071922</v>
      </c>
      <c r="M78" s="194">
        <f t="shared" si="11"/>
        <v>-52310.542960223887</v>
      </c>
      <c r="N78" s="194" t="e">
        <f ca="1">+-VLOOKUP(D78,#REF!,3,0)*L77</f>
        <v>#REF!</v>
      </c>
      <c r="O78" s="194">
        <f t="shared" si="12"/>
        <v>-170190.67095</v>
      </c>
      <c r="P78" s="195">
        <f t="shared" si="13"/>
        <v>60</v>
      </c>
      <c r="Q78" s="198">
        <f t="shared" si="2"/>
        <v>-1590902.2128672386</v>
      </c>
      <c r="R78" s="136"/>
      <c r="W78" s="183"/>
      <c r="X78" s="196"/>
      <c r="Y78" s="188"/>
      <c r="Z78" s="136"/>
      <c r="AA78" s="188"/>
    </row>
    <row r="79" spans="3:27" s="130" customFormat="1" x14ac:dyDescent="0.3">
      <c r="C79" s="189">
        <f t="shared" ca="1" si="5"/>
        <v>47073</v>
      </c>
      <c r="D79" s="190">
        <f t="shared" ca="1" si="6"/>
        <v>31</v>
      </c>
      <c r="E79" s="189">
        <f t="shared" ca="1" si="9"/>
        <v>47363</v>
      </c>
      <c r="F79" s="183" t="s">
        <v>66</v>
      </c>
      <c r="G79" s="183"/>
      <c r="H79" s="186">
        <f t="shared" si="7"/>
        <v>61</v>
      </c>
      <c r="I79" s="197">
        <f t="shared" si="10"/>
        <v>-1368400.9989570146</v>
      </c>
      <c r="J79" s="194">
        <f t="shared" si="0"/>
        <v>1268658.9445121242</v>
      </c>
      <c r="K79" s="186">
        <f t="shared" si="8"/>
        <v>99742.054444890469</v>
      </c>
      <c r="L79" s="186">
        <f t="shared" si="1"/>
        <v>115532888.06627433</v>
      </c>
      <c r="M79" s="194">
        <f t="shared" si="11"/>
        <v>-52265.94881456509</v>
      </c>
      <c r="N79" s="194" t="e">
        <f ca="1">+-VLOOKUP(D79,#REF!,3,0)*L78</f>
        <v>#REF!</v>
      </c>
      <c r="O79" s="194">
        <f t="shared" si="12"/>
        <v>-170190.67095</v>
      </c>
      <c r="P79" s="195">
        <f t="shared" si="13"/>
        <v>61</v>
      </c>
      <c r="Q79" s="198">
        <f t="shared" si="2"/>
        <v>-1590857.6187215797</v>
      </c>
      <c r="R79" s="136"/>
      <c r="W79" s="183"/>
      <c r="X79" s="196"/>
      <c r="Y79" s="188"/>
      <c r="Z79" s="136"/>
      <c r="AA79" s="188"/>
    </row>
    <row r="80" spans="3:27" s="130" customFormat="1" x14ac:dyDescent="0.3">
      <c r="C80" s="189">
        <f t="shared" ca="1" si="5"/>
        <v>47073</v>
      </c>
      <c r="D80" s="190">
        <f t="shared" ca="1" si="6"/>
        <v>31</v>
      </c>
      <c r="E80" s="189">
        <f t="shared" ca="1" si="9"/>
        <v>47393</v>
      </c>
      <c r="F80" s="183" t="s">
        <v>67</v>
      </c>
      <c r="G80" s="183"/>
      <c r="H80" s="186">
        <f t="shared" si="7"/>
        <v>62</v>
      </c>
      <c r="I80" s="197">
        <f t="shared" si="10"/>
        <v>-1368400.9989570146</v>
      </c>
      <c r="J80" s="194">
        <f t="shared" si="0"/>
        <v>1267564.6284061649</v>
      </c>
      <c r="K80" s="186">
        <f t="shared" si="8"/>
        <v>100836.37055084971</v>
      </c>
      <c r="L80" s="186">
        <f t="shared" si="1"/>
        <v>115432051.69572347</v>
      </c>
      <c r="M80" s="194">
        <f t="shared" si="11"/>
        <v>-52220.865405955992</v>
      </c>
      <c r="N80" s="194" t="e">
        <f ca="1">+-VLOOKUP(D80,#REF!,3,0)*L79</f>
        <v>#REF!</v>
      </c>
      <c r="O80" s="194">
        <f t="shared" si="12"/>
        <v>-170190.67095</v>
      </c>
      <c r="P80" s="195">
        <f t="shared" si="13"/>
        <v>62</v>
      </c>
      <c r="Q80" s="198">
        <f t="shared" si="2"/>
        <v>-1590812.5353129706</v>
      </c>
      <c r="R80" s="136"/>
      <c r="W80" s="183"/>
      <c r="X80" s="196"/>
      <c r="Y80" s="188"/>
      <c r="Z80" s="136"/>
      <c r="AA80" s="188"/>
    </row>
    <row r="81" spans="3:27" s="130" customFormat="1" x14ac:dyDescent="0.3">
      <c r="C81" s="189">
        <f t="shared" ca="1" si="5"/>
        <v>47073</v>
      </c>
      <c r="D81" s="190">
        <f t="shared" ca="1" si="6"/>
        <v>31</v>
      </c>
      <c r="E81" s="189">
        <f t="shared" ca="1" si="9"/>
        <v>47424</v>
      </c>
      <c r="F81" s="183" t="s">
        <v>68</v>
      </c>
      <c r="G81" s="183"/>
      <c r="H81" s="186">
        <f t="shared" si="7"/>
        <v>63</v>
      </c>
      <c r="I81" s="197">
        <f t="shared" si="10"/>
        <v>-1368400.9989570146</v>
      </c>
      <c r="J81" s="194">
        <f t="shared" si="0"/>
        <v>1266458.3060532277</v>
      </c>
      <c r="K81" s="186">
        <f t="shared" si="8"/>
        <v>101942.6929037869</v>
      </c>
      <c r="L81" s="186">
        <f t="shared" si="1"/>
        <v>115330109.00281969</v>
      </c>
      <c r="M81" s="194">
        <f t="shared" si="11"/>
        <v>-52175.287366467011</v>
      </c>
      <c r="N81" s="194" t="e">
        <f ca="1">+-VLOOKUP(D81,#REF!,3,0)*L80</f>
        <v>#REF!</v>
      </c>
      <c r="O81" s="194">
        <f t="shared" si="12"/>
        <v>-170190.67095</v>
      </c>
      <c r="P81" s="195">
        <f t="shared" si="13"/>
        <v>63</v>
      </c>
      <c r="Q81" s="198">
        <f t="shared" si="2"/>
        <v>-1590766.9572734816</v>
      </c>
      <c r="R81" s="136"/>
      <c r="W81" s="183"/>
      <c r="X81" s="196"/>
      <c r="Y81" s="188"/>
      <c r="Z81" s="136"/>
      <c r="AA81" s="188"/>
    </row>
    <row r="82" spans="3:27" s="130" customFormat="1" x14ac:dyDescent="0.3">
      <c r="C82" s="189">
        <f t="shared" ca="1" si="5"/>
        <v>47438</v>
      </c>
      <c r="D82" s="190">
        <f t="shared" ca="1" si="6"/>
        <v>32</v>
      </c>
      <c r="E82" s="189">
        <f t="shared" ca="1" si="9"/>
        <v>47454</v>
      </c>
      <c r="F82" s="183" t="s">
        <v>69</v>
      </c>
      <c r="G82" s="183"/>
      <c r="H82" s="186">
        <f t="shared" si="7"/>
        <v>64</v>
      </c>
      <c r="I82" s="197">
        <f t="shared" si="10"/>
        <v>-1368400.9989570146</v>
      </c>
      <c r="J82" s="194">
        <f t="shared" si="0"/>
        <v>1265339.8457272365</v>
      </c>
      <c r="K82" s="186">
        <f t="shared" si="8"/>
        <v>103061.15322977817</v>
      </c>
      <c r="L82" s="186">
        <f t="shared" si="1"/>
        <v>115227047.84958991</v>
      </c>
      <c r="M82" s="194">
        <f t="shared" si="11"/>
        <v>-52129.209269274499</v>
      </c>
      <c r="N82" s="194" t="e">
        <f ca="1">+-VLOOKUP(D82,#REF!,3,0)*L81</f>
        <v>#REF!</v>
      </c>
      <c r="O82" s="194">
        <f t="shared" si="12"/>
        <v>-170190.67095</v>
      </c>
      <c r="P82" s="195">
        <f t="shared" si="13"/>
        <v>64</v>
      </c>
      <c r="Q82" s="198">
        <f t="shared" si="2"/>
        <v>-1590720.8791762891</v>
      </c>
      <c r="R82" s="136"/>
      <c r="W82" s="183"/>
      <c r="X82" s="196"/>
      <c r="Y82" s="188"/>
      <c r="Z82" s="136"/>
      <c r="AA82" s="188"/>
    </row>
    <row r="83" spans="3:27" s="130" customFormat="1" x14ac:dyDescent="0.3">
      <c r="C83" s="189">
        <f t="shared" ca="1" si="5"/>
        <v>47438</v>
      </c>
      <c r="D83" s="190">
        <f t="shared" ca="1" si="6"/>
        <v>32</v>
      </c>
      <c r="E83" s="189">
        <f t="shared" ca="1" si="9"/>
        <v>47485</v>
      </c>
      <c r="F83" s="183" t="s">
        <v>70</v>
      </c>
      <c r="G83" s="183"/>
      <c r="H83" s="186">
        <f t="shared" si="7"/>
        <v>65</v>
      </c>
      <c r="I83" s="197">
        <f t="shared" si="10"/>
        <v>-1368400.9989570146</v>
      </c>
      <c r="J83" s="194">
        <f t="shared" ref="J83:J146" si="14">+IF(L82&gt;0,L82*$J$9,0)</f>
        <v>1264209.1142568877</v>
      </c>
      <c r="K83" s="186">
        <f t="shared" si="8"/>
        <v>104191.88470012695</v>
      </c>
      <c r="L83" s="186">
        <f t="shared" ref="L83:L146" si="15">+L82-K83</f>
        <v>115122855.96488979</v>
      </c>
      <c r="M83" s="194">
        <f t="shared" si="11"/>
        <v>-52082.625628014641</v>
      </c>
      <c r="N83" s="194" t="e">
        <f ca="1">+-VLOOKUP(D83,#REF!,3,0)*L82</f>
        <v>#REF!</v>
      </c>
      <c r="O83" s="194">
        <f t="shared" si="12"/>
        <v>-170190.67095</v>
      </c>
      <c r="P83" s="195">
        <f t="shared" si="13"/>
        <v>65</v>
      </c>
      <c r="Q83" s="198">
        <f t="shared" ref="Q83:Q146" si="16">+I83+M83+O83</f>
        <v>-1590674.2955350291</v>
      </c>
      <c r="R83" s="136"/>
      <c r="W83" s="183"/>
      <c r="X83" s="196"/>
      <c r="Y83" s="188"/>
      <c r="Z83" s="136"/>
      <c r="AA83" s="188"/>
    </row>
    <row r="84" spans="3:27" s="130" customFormat="1" x14ac:dyDescent="0.3">
      <c r="C84" s="189">
        <f t="shared" ref="C84:C147" ca="1" si="17">+VLOOKUP(E84,$A$18:$B$42,1,1)</f>
        <v>47438</v>
      </c>
      <c r="D84" s="190">
        <f t="shared" ref="D84:D147" ca="1" si="18">+VLOOKUP(C84,$A$18:$B$42,2,0)</f>
        <v>32</v>
      </c>
      <c r="E84" s="189">
        <f t="shared" ca="1" si="9"/>
        <v>47516</v>
      </c>
      <c r="F84" s="183" t="s">
        <v>71</v>
      </c>
      <c r="G84" s="183"/>
      <c r="H84" s="186">
        <f t="shared" ref="H84:H147" si="19">P84</f>
        <v>66</v>
      </c>
      <c r="I84" s="197">
        <f t="shared" si="10"/>
        <v>-1368400.9989570146</v>
      </c>
      <c r="J84" s="194">
        <f t="shared" si="14"/>
        <v>1263065.9770097942</v>
      </c>
      <c r="K84" s="186">
        <f t="shared" ref="K84:K147" si="20">+IF(L83&gt;0,-I84-J84,0)</f>
        <v>105335.02194722043</v>
      </c>
      <c r="L84" s="186">
        <f t="shared" si="15"/>
        <v>115017520.94294257</v>
      </c>
      <c r="M84" s="194">
        <f t="shared" si="11"/>
        <v>-52035.530896130185</v>
      </c>
      <c r="N84" s="194" t="e">
        <f ca="1">+-VLOOKUP(D84,#REF!,3,0)*L83</f>
        <v>#REF!</v>
      </c>
      <c r="O84" s="194">
        <f t="shared" si="12"/>
        <v>-170190.67095</v>
      </c>
      <c r="P84" s="195">
        <f t="shared" si="13"/>
        <v>66</v>
      </c>
      <c r="Q84" s="198">
        <f t="shared" si="16"/>
        <v>-1590627.2008031448</v>
      </c>
      <c r="R84" s="136"/>
      <c r="W84" s="183"/>
      <c r="X84" s="196"/>
      <c r="Y84" s="188"/>
      <c r="Z84" s="136"/>
      <c r="AA84" s="188"/>
    </row>
    <row r="85" spans="3:27" s="130" customFormat="1" x14ac:dyDescent="0.3">
      <c r="C85" s="189">
        <f t="shared" ca="1" si="17"/>
        <v>47438</v>
      </c>
      <c r="D85" s="190">
        <f t="shared" ca="1" si="18"/>
        <v>32</v>
      </c>
      <c r="E85" s="189">
        <f t="shared" ref="E85:E148" ca="1" si="21">+EDATE(E84,1)</f>
        <v>47544</v>
      </c>
      <c r="F85" s="183" t="s">
        <v>72</v>
      </c>
      <c r="G85" s="183"/>
      <c r="H85" s="186">
        <f t="shared" si="19"/>
        <v>67</v>
      </c>
      <c r="I85" s="197">
        <f t="shared" ref="I85:I148" si="22">+IF(L84&gt;0.1,I84,0)</f>
        <v>-1368400.9989570146</v>
      </c>
      <c r="J85" s="194">
        <f t="shared" si="14"/>
        <v>1261910.2978764544</v>
      </c>
      <c r="K85" s="186">
        <f t="shared" si="20"/>
        <v>106490.70108056022</v>
      </c>
      <c r="L85" s="186">
        <f t="shared" si="15"/>
        <v>114911030.24186201</v>
      </c>
      <c r="M85" s="194">
        <f t="shared" ref="M85:M148" si="23">IF(H84&lt;=$J$7,(-L84*$J$10),0)</f>
        <v>-51987.919466210042</v>
      </c>
      <c r="N85" s="194" t="e">
        <f ca="1">+-VLOOKUP(D85,#REF!,3,0)*L84</f>
        <v>#REF!</v>
      </c>
      <c r="O85" s="194">
        <f t="shared" ref="O85:O148" si="24">IF(H84&lt;=$J$7,(-$J$5*$J$11),0)</f>
        <v>-170190.67095</v>
      </c>
      <c r="P85" s="195">
        <f t="shared" ref="P85:P148" si="25">+P84+1</f>
        <v>67</v>
      </c>
      <c r="Q85" s="198">
        <f t="shared" si="16"/>
        <v>-1590579.5893732246</v>
      </c>
      <c r="R85" s="136"/>
      <c r="W85" s="183"/>
      <c r="X85" s="196"/>
      <c r="Y85" s="188"/>
      <c r="Z85" s="136"/>
      <c r="AA85" s="188"/>
    </row>
    <row r="86" spans="3:27" s="130" customFormat="1" x14ac:dyDescent="0.3">
      <c r="C86" s="189">
        <f t="shared" ca="1" si="17"/>
        <v>47438</v>
      </c>
      <c r="D86" s="190">
        <f t="shared" ca="1" si="18"/>
        <v>32</v>
      </c>
      <c r="E86" s="189">
        <f t="shared" ca="1" si="21"/>
        <v>47575</v>
      </c>
      <c r="F86" s="183" t="s">
        <v>73</v>
      </c>
      <c r="G86" s="183"/>
      <c r="H86" s="186">
        <f t="shared" si="19"/>
        <v>68</v>
      </c>
      <c r="I86" s="197">
        <f t="shared" si="22"/>
        <v>-1368400.9989570146</v>
      </c>
      <c r="J86" s="194">
        <f t="shared" si="14"/>
        <v>1260741.9392540467</v>
      </c>
      <c r="K86" s="186">
        <f t="shared" si="20"/>
        <v>107659.05970296799</v>
      </c>
      <c r="L86" s="186">
        <f t="shared" si="15"/>
        <v>114803371.18215905</v>
      </c>
      <c r="M86" s="194">
        <f t="shared" si="23"/>
        <v>-51939.785669321631</v>
      </c>
      <c r="N86" s="194" t="e">
        <f ca="1">+-VLOOKUP(D86,#REF!,3,0)*L85</f>
        <v>#REF!</v>
      </c>
      <c r="O86" s="194">
        <f t="shared" si="24"/>
        <v>-170190.67095</v>
      </c>
      <c r="P86" s="195">
        <f t="shared" si="25"/>
        <v>68</v>
      </c>
      <c r="Q86" s="198">
        <f t="shared" si="16"/>
        <v>-1590531.4555763362</v>
      </c>
      <c r="R86" s="136"/>
      <c r="W86" s="183"/>
      <c r="X86" s="196"/>
      <c r="Y86" s="188"/>
      <c r="Z86" s="136"/>
      <c r="AA86" s="188"/>
    </row>
    <row r="87" spans="3:27" s="130" customFormat="1" x14ac:dyDescent="0.3">
      <c r="C87" s="189">
        <f t="shared" ca="1" si="17"/>
        <v>47438</v>
      </c>
      <c r="D87" s="190">
        <f t="shared" ca="1" si="18"/>
        <v>32</v>
      </c>
      <c r="E87" s="189">
        <f t="shared" ca="1" si="21"/>
        <v>47605</v>
      </c>
      <c r="F87" s="183" t="s">
        <v>74</v>
      </c>
      <c r="G87" s="183"/>
      <c r="H87" s="186">
        <f t="shared" si="19"/>
        <v>69</v>
      </c>
      <c r="I87" s="197">
        <f t="shared" si="22"/>
        <v>-1368400.9989570146</v>
      </c>
      <c r="J87" s="194">
        <f t="shared" si="14"/>
        <v>1259560.7620300457</v>
      </c>
      <c r="K87" s="186">
        <f t="shared" si="20"/>
        <v>108840.23692696891</v>
      </c>
      <c r="L87" s="186">
        <f t="shared" si="15"/>
        <v>114694530.94523208</v>
      </c>
      <c r="M87" s="194">
        <f t="shared" si="23"/>
        <v>-51891.123774335887</v>
      </c>
      <c r="N87" s="194" t="e">
        <f ca="1">+-VLOOKUP(D87,#REF!,3,0)*L86</f>
        <v>#REF!</v>
      </c>
      <c r="O87" s="194">
        <f t="shared" si="24"/>
        <v>-170190.67095</v>
      </c>
      <c r="P87" s="195">
        <f t="shared" si="25"/>
        <v>69</v>
      </c>
      <c r="Q87" s="198">
        <f t="shared" si="16"/>
        <v>-1590482.7936813505</v>
      </c>
      <c r="R87" s="136"/>
      <c r="W87" s="183"/>
      <c r="X87" s="196"/>
      <c r="Y87" s="188"/>
      <c r="Z87" s="136"/>
      <c r="AA87" s="188"/>
    </row>
    <row r="88" spans="3:27" s="130" customFormat="1" x14ac:dyDescent="0.3">
      <c r="C88" s="189">
        <f t="shared" ca="1" si="17"/>
        <v>47438</v>
      </c>
      <c r="D88" s="190">
        <f t="shared" ca="1" si="18"/>
        <v>32</v>
      </c>
      <c r="E88" s="189">
        <f t="shared" ca="1" si="21"/>
        <v>47636</v>
      </c>
      <c r="F88" s="183" t="s">
        <v>75</v>
      </c>
      <c r="G88" s="183"/>
      <c r="H88" s="186">
        <f t="shared" si="19"/>
        <v>70</v>
      </c>
      <c r="I88" s="197">
        <f t="shared" si="22"/>
        <v>-1368400.9989570146</v>
      </c>
      <c r="J88" s="194">
        <f t="shared" si="14"/>
        <v>1258366.6255656579</v>
      </c>
      <c r="K88" s="186">
        <f t="shared" si="20"/>
        <v>110034.37339135678</v>
      </c>
      <c r="L88" s="186">
        <f t="shared" si="15"/>
        <v>114584496.57184072</v>
      </c>
      <c r="M88" s="194">
        <f t="shared" si="23"/>
        <v>-51841.927987244897</v>
      </c>
      <c r="N88" s="194" t="e">
        <f ca="1">+-VLOOKUP(D88,#REF!,3,0)*L87</f>
        <v>#REF!</v>
      </c>
      <c r="O88" s="194">
        <f t="shared" si="24"/>
        <v>-170190.67095</v>
      </c>
      <c r="P88" s="195">
        <f t="shared" si="25"/>
        <v>70</v>
      </c>
      <c r="Q88" s="198">
        <f t="shared" si="16"/>
        <v>-1590433.5978942595</v>
      </c>
      <c r="R88" s="136"/>
      <c r="W88" s="183"/>
      <c r="X88" s="196"/>
      <c r="Y88" s="188"/>
      <c r="Z88" s="136"/>
      <c r="AA88" s="188"/>
    </row>
    <row r="89" spans="3:27" s="130" customFormat="1" x14ac:dyDescent="0.3">
      <c r="C89" s="189">
        <f t="shared" ca="1" si="17"/>
        <v>47438</v>
      </c>
      <c r="D89" s="190">
        <f t="shared" ca="1" si="18"/>
        <v>32</v>
      </c>
      <c r="E89" s="189">
        <f t="shared" ca="1" si="21"/>
        <v>47666</v>
      </c>
      <c r="F89" s="183" t="s">
        <v>76</v>
      </c>
      <c r="G89" s="183"/>
      <c r="H89" s="186">
        <f t="shared" si="19"/>
        <v>71</v>
      </c>
      <c r="I89" s="197">
        <f t="shared" si="22"/>
        <v>-1368400.9989570146</v>
      </c>
      <c r="J89" s="194">
        <f t="shared" si="14"/>
        <v>1257159.387679077</v>
      </c>
      <c r="K89" s="186">
        <f t="shared" si="20"/>
        <v>111241.61127793766</v>
      </c>
      <c r="L89" s="186">
        <f t="shared" si="15"/>
        <v>114473254.96056278</v>
      </c>
      <c r="M89" s="194">
        <f t="shared" si="23"/>
        <v>-51792.192450472001</v>
      </c>
      <c r="N89" s="194" t="e">
        <f ca="1">+-VLOOKUP(D89,#REF!,3,0)*L88</f>
        <v>#REF!</v>
      </c>
      <c r="O89" s="194">
        <f t="shared" si="24"/>
        <v>-170190.67095</v>
      </c>
      <c r="P89" s="195">
        <f t="shared" si="25"/>
        <v>71</v>
      </c>
      <c r="Q89" s="198">
        <f t="shared" si="16"/>
        <v>-1590383.8623574865</v>
      </c>
      <c r="R89" s="136"/>
      <c r="W89" s="183"/>
      <c r="X89" s="196"/>
      <c r="Y89" s="188"/>
      <c r="Z89" s="136"/>
      <c r="AA89" s="188"/>
    </row>
    <row r="90" spans="3:27" s="130" customFormat="1" x14ac:dyDescent="0.3">
      <c r="C90" s="189">
        <f t="shared" ca="1" si="17"/>
        <v>47438</v>
      </c>
      <c r="D90" s="190">
        <f t="shared" ca="1" si="18"/>
        <v>32</v>
      </c>
      <c r="E90" s="189">
        <f t="shared" ca="1" si="21"/>
        <v>47697</v>
      </c>
      <c r="F90" s="183" t="s">
        <v>77</v>
      </c>
      <c r="G90" s="183"/>
      <c r="H90" s="186">
        <f t="shared" si="19"/>
        <v>72</v>
      </c>
      <c r="I90" s="197">
        <f t="shared" si="22"/>
        <v>-1368400.9989570146</v>
      </c>
      <c r="J90" s="194">
        <f t="shared" si="14"/>
        <v>1255938.9046285541</v>
      </c>
      <c r="K90" s="186">
        <f t="shared" si="20"/>
        <v>112462.09432846052</v>
      </c>
      <c r="L90" s="186">
        <f t="shared" si="15"/>
        <v>114360792.86623432</v>
      </c>
      <c r="M90" s="194">
        <f t="shared" si="23"/>
        <v>-51741.911242174378</v>
      </c>
      <c r="N90" s="194" t="e">
        <f ca="1">+-VLOOKUP(D90,#REF!,3,0)*L89</f>
        <v>#REF!</v>
      </c>
      <c r="O90" s="194">
        <f t="shared" si="24"/>
        <v>-170190.67095</v>
      </c>
      <c r="P90" s="195">
        <f t="shared" si="25"/>
        <v>72</v>
      </c>
      <c r="Q90" s="198">
        <f t="shared" si="16"/>
        <v>-1590333.581149189</v>
      </c>
      <c r="R90" s="136"/>
      <c r="W90" s="183"/>
      <c r="X90" s="196"/>
      <c r="Y90" s="188"/>
      <c r="Z90" s="136"/>
      <c r="AA90" s="188"/>
    </row>
    <row r="91" spans="3:27" s="130" customFormat="1" x14ac:dyDescent="0.3">
      <c r="C91" s="189">
        <f t="shared" ca="1" si="17"/>
        <v>47438</v>
      </c>
      <c r="D91" s="190">
        <f t="shared" ca="1" si="18"/>
        <v>32</v>
      </c>
      <c r="E91" s="189">
        <f t="shared" ca="1" si="21"/>
        <v>47728</v>
      </c>
      <c r="F91" s="183" t="s">
        <v>78</v>
      </c>
      <c r="G91" s="183"/>
      <c r="H91" s="186">
        <f t="shared" si="19"/>
        <v>73</v>
      </c>
      <c r="I91" s="197">
        <f t="shared" si="22"/>
        <v>-1368400.9989570146</v>
      </c>
      <c r="J91" s="194">
        <f t="shared" si="14"/>
        <v>1254705.031095284</v>
      </c>
      <c r="K91" s="186">
        <f t="shared" si="20"/>
        <v>113695.96786173061</v>
      </c>
      <c r="L91" s="186">
        <f t="shared" si="15"/>
        <v>114247096.89837259</v>
      </c>
      <c r="M91" s="194">
        <f t="shared" si="23"/>
        <v>-51691.078375537909</v>
      </c>
      <c r="N91" s="194" t="e">
        <f ca="1">+-VLOOKUP(D91,#REF!,3,0)*L90</f>
        <v>#REF!</v>
      </c>
      <c r="O91" s="194">
        <f t="shared" si="24"/>
        <v>-170190.67095</v>
      </c>
      <c r="P91" s="195">
        <f t="shared" si="25"/>
        <v>73</v>
      </c>
      <c r="Q91" s="198">
        <f t="shared" si="16"/>
        <v>-1590282.7482825525</v>
      </c>
      <c r="R91" s="136"/>
      <c r="W91" s="183"/>
      <c r="X91" s="196"/>
      <c r="Y91" s="188"/>
      <c r="Z91" s="136"/>
      <c r="AA91" s="188"/>
    </row>
    <row r="92" spans="3:27" s="130" customFormat="1" x14ac:dyDescent="0.3">
      <c r="C92" s="189">
        <f t="shared" ca="1" si="17"/>
        <v>47438</v>
      </c>
      <c r="D92" s="190">
        <f t="shared" ca="1" si="18"/>
        <v>32</v>
      </c>
      <c r="E92" s="189">
        <f t="shared" ca="1" si="21"/>
        <v>47758</v>
      </c>
      <c r="F92" s="183" t="s">
        <v>79</v>
      </c>
      <c r="G92" s="183"/>
      <c r="H92" s="186">
        <f t="shared" si="19"/>
        <v>74</v>
      </c>
      <c r="I92" s="197">
        <f t="shared" si="22"/>
        <v>-1368400.9989570146</v>
      </c>
      <c r="J92" s="194">
        <f t="shared" si="14"/>
        <v>1253457.6201661013</v>
      </c>
      <c r="K92" s="186">
        <f t="shared" si="20"/>
        <v>114943.37879091338</v>
      </c>
      <c r="L92" s="186">
        <f t="shared" si="15"/>
        <v>114132153.51958168</v>
      </c>
      <c r="M92" s="194">
        <f t="shared" si="23"/>
        <v>-51639.687798064406</v>
      </c>
      <c r="N92" s="194" t="e">
        <f ca="1">+-VLOOKUP(D92,#REF!,3,0)*L91</f>
        <v>#REF!</v>
      </c>
      <c r="O92" s="194">
        <f t="shared" si="24"/>
        <v>-170190.67095</v>
      </c>
      <c r="P92" s="195">
        <f t="shared" si="25"/>
        <v>74</v>
      </c>
      <c r="Q92" s="198">
        <f t="shared" si="16"/>
        <v>-1590231.357705079</v>
      </c>
      <c r="R92" s="136"/>
      <c r="W92" s="183"/>
      <c r="X92" s="196"/>
      <c r="Y92" s="188"/>
      <c r="Z92" s="136"/>
      <c r="AA92" s="188"/>
    </row>
    <row r="93" spans="3:27" s="130" customFormat="1" x14ac:dyDescent="0.3">
      <c r="C93" s="189">
        <f t="shared" ca="1" si="17"/>
        <v>47438</v>
      </c>
      <c r="D93" s="190">
        <f t="shared" ca="1" si="18"/>
        <v>32</v>
      </c>
      <c r="E93" s="189">
        <f t="shared" ca="1" si="21"/>
        <v>47789</v>
      </c>
      <c r="F93" s="183" t="s">
        <v>80</v>
      </c>
      <c r="G93" s="183"/>
      <c r="H93" s="186">
        <f t="shared" si="19"/>
        <v>75</v>
      </c>
      <c r="I93" s="197">
        <f t="shared" si="22"/>
        <v>-1368400.9989570146</v>
      </c>
      <c r="J93" s="194">
        <f t="shared" si="14"/>
        <v>1252196.523315988</v>
      </c>
      <c r="K93" s="186">
        <f t="shared" si="20"/>
        <v>116204.47564102663</v>
      </c>
      <c r="L93" s="186">
        <f t="shared" si="15"/>
        <v>114015949.04394065</v>
      </c>
      <c r="M93" s="194">
        <f t="shared" si="23"/>
        <v>-51587.733390850917</v>
      </c>
      <c r="N93" s="194" t="e">
        <f ca="1">+-VLOOKUP(D93,#REF!,3,0)*L92</f>
        <v>#REF!</v>
      </c>
      <c r="O93" s="194">
        <f t="shared" si="24"/>
        <v>-170190.67095</v>
      </c>
      <c r="P93" s="195">
        <f t="shared" si="25"/>
        <v>75</v>
      </c>
      <c r="Q93" s="198">
        <f t="shared" si="16"/>
        <v>-1590179.4032978655</v>
      </c>
      <c r="R93" s="136"/>
      <c r="W93" s="183"/>
      <c r="X93" s="196"/>
      <c r="Y93" s="188"/>
      <c r="Z93" s="136"/>
      <c r="AA93" s="188"/>
    </row>
    <row r="94" spans="3:27" s="130" customFormat="1" x14ac:dyDescent="0.3">
      <c r="C94" s="189">
        <f t="shared" ca="1" si="17"/>
        <v>47803</v>
      </c>
      <c r="D94" s="190">
        <f t="shared" ca="1" si="18"/>
        <v>33</v>
      </c>
      <c r="E94" s="189">
        <f t="shared" ca="1" si="21"/>
        <v>47819</v>
      </c>
      <c r="F94" s="183" t="s">
        <v>81</v>
      </c>
      <c r="G94" s="183"/>
      <c r="H94" s="186">
        <f t="shared" si="19"/>
        <v>76</v>
      </c>
      <c r="I94" s="197">
        <f t="shared" si="22"/>
        <v>-1368400.9989570146</v>
      </c>
      <c r="J94" s="194">
        <f t="shared" si="14"/>
        <v>1250921.5903903907</v>
      </c>
      <c r="K94" s="186">
        <f t="shared" si="20"/>
        <v>117479.40856662393</v>
      </c>
      <c r="L94" s="186">
        <f t="shared" si="15"/>
        <v>113898469.63537402</v>
      </c>
      <c r="M94" s="194">
        <f t="shared" si="23"/>
        <v>-51535.208967861174</v>
      </c>
      <c r="N94" s="194" t="e">
        <f ca="1">+-VLOOKUP(D94,#REF!,3,0)*L93</f>
        <v>#REF!</v>
      </c>
      <c r="O94" s="194">
        <f t="shared" si="24"/>
        <v>-170190.67095</v>
      </c>
      <c r="P94" s="195">
        <f t="shared" si="25"/>
        <v>76</v>
      </c>
      <c r="Q94" s="198">
        <f t="shared" si="16"/>
        <v>-1590126.8788748758</v>
      </c>
      <c r="R94" s="136"/>
      <c r="W94" s="183"/>
      <c r="X94" s="196"/>
      <c r="Y94" s="188"/>
      <c r="Z94" s="136"/>
      <c r="AA94" s="188"/>
    </row>
    <row r="95" spans="3:27" s="130" customFormat="1" x14ac:dyDescent="0.3">
      <c r="C95" s="189">
        <f t="shared" ca="1" si="17"/>
        <v>47803</v>
      </c>
      <c r="D95" s="190">
        <f t="shared" ca="1" si="18"/>
        <v>33</v>
      </c>
      <c r="E95" s="189">
        <f t="shared" ca="1" si="21"/>
        <v>47850</v>
      </c>
      <c r="F95" s="183" t="s">
        <v>82</v>
      </c>
      <c r="G95" s="183"/>
      <c r="H95" s="186">
        <f t="shared" si="19"/>
        <v>77</v>
      </c>
      <c r="I95" s="197">
        <f t="shared" si="22"/>
        <v>-1368400.9989570146</v>
      </c>
      <c r="J95" s="194">
        <f t="shared" si="14"/>
        <v>1249632.6695873402</v>
      </c>
      <c r="K95" s="186">
        <f t="shared" si="20"/>
        <v>118768.32936967444</v>
      </c>
      <c r="L95" s="186">
        <f t="shared" si="15"/>
        <v>113779701.30600435</v>
      </c>
      <c r="M95" s="194">
        <f t="shared" si="23"/>
        <v>-51482.108275189057</v>
      </c>
      <c r="N95" s="194" t="e">
        <f ca="1">+-VLOOKUP(D95,#REF!,3,0)*L94</f>
        <v>#REF!</v>
      </c>
      <c r="O95" s="194">
        <f t="shared" si="24"/>
        <v>-170190.67095</v>
      </c>
      <c r="P95" s="195">
        <f t="shared" si="25"/>
        <v>77</v>
      </c>
      <c r="Q95" s="198">
        <f t="shared" si="16"/>
        <v>-1590073.7781822036</v>
      </c>
      <c r="R95" s="136"/>
      <c r="W95" s="183"/>
      <c r="X95" s="196"/>
      <c r="Y95" s="188"/>
      <c r="Z95" s="136"/>
      <c r="AA95" s="188"/>
    </row>
    <row r="96" spans="3:27" s="130" customFormat="1" x14ac:dyDescent="0.3">
      <c r="C96" s="189">
        <f t="shared" ca="1" si="17"/>
        <v>47803</v>
      </c>
      <c r="D96" s="190">
        <f t="shared" ca="1" si="18"/>
        <v>33</v>
      </c>
      <c r="E96" s="189">
        <f t="shared" ca="1" si="21"/>
        <v>47881</v>
      </c>
      <c r="F96" s="183" t="s">
        <v>83</v>
      </c>
      <c r="G96" s="183"/>
      <c r="H96" s="186">
        <f t="shared" si="19"/>
        <v>78</v>
      </c>
      <c r="I96" s="197">
        <f t="shared" si="22"/>
        <v>-1368400.9989570146</v>
      </c>
      <c r="J96" s="194">
        <f t="shared" si="14"/>
        <v>1248329.607439378</v>
      </c>
      <c r="K96" s="186">
        <f t="shared" si="20"/>
        <v>120071.3915176366</v>
      </c>
      <c r="L96" s="186">
        <f t="shared" si="15"/>
        <v>113659629.91448671</v>
      </c>
      <c r="M96" s="194">
        <f t="shared" si="23"/>
        <v>-51428.424990313964</v>
      </c>
      <c r="N96" s="194" t="e">
        <f ca="1">+-VLOOKUP(D96,#REF!,3,0)*L95</f>
        <v>#REF!</v>
      </c>
      <c r="O96" s="194">
        <f t="shared" si="24"/>
        <v>-170190.67095</v>
      </c>
      <c r="P96" s="195">
        <f t="shared" si="25"/>
        <v>78</v>
      </c>
      <c r="Q96" s="198">
        <f t="shared" si="16"/>
        <v>-1590020.0948973286</v>
      </c>
      <c r="R96" s="136"/>
      <c r="W96" s="183"/>
      <c r="X96" s="196"/>
      <c r="Y96" s="188"/>
      <c r="Z96" s="136"/>
      <c r="AA96" s="188"/>
    </row>
    <row r="97" spans="3:27" s="130" customFormat="1" x14ac:dyDescent="0.3">
      <c r="C97" s="189">
        <f t="shared" ca="1" si="17"/>
        <v>47803</v>
      </c>
      <c r="D97" s="190">
        <f t="shared" ca="1" si="18"/>
        <v>33</v>
      </c>
      <c r="E97" s="189">
        <f t="shared" ca="1" si="21"/>
        <v>47909</v>
      </c>
      <c r="F97" s="183" t="s">
        <v>84</v>
      </c>
      <c r="G97" s="183"/>
      <c r="H97" s="186">
        <f t="shared" si="19"/>
        <v>79</v>
      </c>
      <c r="I97" s="197">
        <f t="shared" si="22"/>
        <v>-1368400.9989570146</v>
      </c>
      <c r="J97" s="194">
        <f t="shared" si="14"/>
        <v>1247012.248795284</v>
      </c>
      <c r="K97" s="186">
        <f t="shared" si="20"/>
        <v>121388.75016173068</v>
      </c>
      <c r="L97" s="186">
        <f t="shared" si="15"/>
        <v>113538241.16432497</v>
      </c>
      <c r="M97" s="194">
        <f t="shared" si="23"/>
        <v>-51374.152721347986</v>
      </c>
      <c r="N97" s="194" t="e">
        <f ca="1">+-VLOOKUP(D97,#REF!,3,0)*L96</f>
        <v>#REF!</v>
      </c>
      <c r="O97" s="194">
        <f t="shared" si="24"/>
        <v>-170190.67095</v>
      </c>
      <c r="P97" s="195">
        <f t="shared" si="25"/>
        <v>79</v>
      </c>
      <c r="Q97" s="198">
        <f t="shared" si="16"/>
        <v>-1589965.8226283626</v>
      </c>
      <c r="R97" s="136"/>
      <c r="W97" s="183"/>
      <c r="X97" s="196"/>
      <c r="Y97" s="188"/>
      <c r="Z97" s="136"/>
      <c r="AA97" s="188"/>
    </row>
    <row r="98" spans="3:27" s="130" customFormat="1" x14ac:dyDescent="0.3">
      <c r="C98" s="189">
        <f t="shared" ca="1" si="17"/>
        <v>47803</v>
      </c>
      <c r="D98" s="190">
        <f t="shared" ca="1" si="18"/>
        <v>33</v>
      </c>
      <c r="E98" s="189">
        <f t="shared" ca="1" si="21"/>
        <v>47940</v>
      </c>
      <c r="F98" s="183" t="s">
        <v>85</v>
      </c>
      <c r="G98" s="183"/>
      <c r="H98" s="186">
        <f t="shared" si="19"/>
        <v>80</v>
      </c>
      <c r="I98" s="197">
        <f t="shared" si="22"/>
        <v>-1368400.9989570146</v>
      </c>
      <c r="J98" s="194">
        <f t="shared" si="14"/>
        <v>1245680.4368016014</v>
      </c>
      <c r="K98" s="186">
        <f t="shared" si="20"/>
        <v>122720.56215541321</v>
      </c>
      <c r="L98" s="186">
        <f t="shared" si="15"/>
        <v>113415520.60216956</v>
      </c>
      <c r="M98" s="194">
        <f t="shared" si="23"/>
        <v>-51319.285006274884</v>
      </c>
      <c r="N98" s="194" t="e">
        <f ca="1">+-VLOOKUP(D98,#REF!,3,0)*L97</f>
        <v>#REF!</v>
      </c>
      <c r="O98" s="194">
        <f t="shared" si="24"/>
        <v>-170190.67095</v>
      </c>
      <c r="P98" s="195">
        <f t="shared" si="25"/>
        <v>80</v>
      </c>
      <c r="Q98" s="198">
        <f t="shared" si="16"/>
        <v>-1589910.9549132895</v>
      </c>
      <c r="R98" s="136"/>
      <c r="W98" s="183"/>
      <c r="X98" s="196"/>
      <c r="Y98" s="188"/>
      <c r="Z98" s="136"/>
      <c r="AA98" s="188"/>
    </row>
    <row r="99" spans="3:27" s="130" customFormat="1" x14ac:dyDescent="0.3">
      <c r="C99" s="189">
        <f t="shared" ca="1" si="17"/>
        <v>47803</v>
      </c>
      <c r="D99" s="190">
        <f t="shared" ca="1" si="18"/>
        <v>33</v>
      </c>
      <c r="E99" s="189">
        <f t="shared" ca="1" si="21"/>
        <v>47970</v>
      </c>
      <c r="F99" s="183" t="s">
        <v>86</v>
      </c>
      <c r="G99" s="183"/>
      <c r="H99" s="186">
        <f t="shared" si="19"/>
        <v>81</v>
      </c>
      <c r="I99" s="197">
        <f t="shared" si="22"/>
        <v>-1368400.9989570146</v>
      </c>
      <c r="J99" s="194">
        <f t="shared" si="14"/>
        <v>1244334.0128839626</v>
      </c>
      <c r="K99" s="186">
        <f t="shared" si="20"/>
        <v>124066.98607305204</v>
      </c>
      <c r="L99" s="186">
        <f t="shared" si="15"/>
        <v>113291453.61609651</v>
      </c>
      <c r="M99" s="194">
        <f t="shared" si="23"/>
        <v>-51263.815312180639</v>
      </c>
      <c r="N99" s="194" t="e">
        <f ca="1">+-VLOOKUP(D99,#REF!,3,0)*L98</f>
        <v>#REF!</v>
      </c>
      <c r="O99" s="194">
        <f t="shared" si="24"/>
        <v>-170190.67095</v>
      </c>
      <c r="P99" s="195">
        <f t="shared" si="25"/>
        <v>81</v>
      </c>
      <c r="Q99" s="198">
        <f t="shared" si="16"/>
        <v>-1589855.4852191953</v>
      </c>
      <c r="R99" s="136"/>
      <c r="W99" s="183"/>
      <c r="X99" s="196"/>
      <c r="Y99" s="188"/>
      <c r="Z99" s="136"/>
      <c r="AA99" s="188"/>
    </row>
    <row r="100" spans="3:27" s="130" customFormat="1" x14ac:dyDescent="0.3">
      <c r="C100" s="189">
        <f t="shared" ca="1" si="17"/>
        <v>47803</v>
      </c>
      <c r="D100" s="190">
        <f t="shared" ca="1" si="18"/>
        <v>33</v>
      </c>
      <c r="E100" s="189">
        <f t="shared" ca="1" si="21"/>
        <v>48001</v>
      </c>
      <c r="F100" s="183" t="s">
        <v>87</v>
      </c>
      <c r="G100" s="183"/>
      <c r="H100" s="186">
        <f t="shared" si="19"/>
        <v>82</v>
      </c>
      <c r="I100" s="197">
        <f t="shared" si="22"/>
        <v>-1368400.9989570146</v>
      </c>
      <c r="J100" s="194">
        <f t="shared" si="14"/>
        <v>1242972.816728207</v>
      </c>
      <c r="K100" s="186">
        <f t="shared" si="20"/>
        <v>125428.18222880759</v>
      </c>
      <c r="L100" s="186">
        <f t="shared" si="15"/>
        <v>113166025.43386771</v>
      </c>
      <c r="M100" s="194">
        <f t="shared" si="23"/>
        <v>-51207.73703447562</v>
      </c>
      <c r="N100" s="194" t="e">
        <f ca="1">+-VLOOKUP(D100,#REF!,3,0)*L99</f>
        <v>#REF!</v>
      </c>
      <c r="O100" s="194">
        <f t="shared" si="24"/>
        <v>-170190.67095</v>
      </c>
      <c r="P100" s="195">
        <f t="shared" si="25"/>
        <v>82</v>
      </c>
      <c r="Q100" s="198">
        <f t="shared" si="16"/>
        <v>-1589799.4069414902</v>
      </c>
      <c r="R100" s="136"/>
      <c r="W100" s="183"/>
      <c r="X100" s="196"/>
      <c r="Y100" s="188"/>
      <c r="Z100" s="136"/>
      <c r="AA100" s="188"/>
    </row>
    <row r="101" spans="3:27" s="130" customFormat="1" x14ac:dyDescent="0.3">
      <c r="C101" s="189">
        <f t="shared" ca="1" si="17"/>
        <v>47803</v>
      </c>
      <c r="D101" s="190">
        <f t="shared" ca="1" si="18"/>
        <v>33</v>
      </c>
      <c r="E101" s="189">
        <f t="shared" ca="1" si="21"/>
        <v>48031</v>
      </c>
      <c r="F101" s="183" t="s">
        <v>88</v>
      </c>
      <c r="G101" s="183"/>
      <c r="H101" s="186">
        <f t="shared" si="19"/>
        <v>83</v>
      </c>
      <c r="I101" s="197">
        <f t="shared" si="22"/>
        <v>-1368400.9989570146</v>
      </c>
      <c r="J101" s="194">
        <f t="shared" si="14"/>
        <v>1241596.6862612935</v>
      </c>
      <c r="K101" s="186">
        <f t="shared" si="20"/>
        <v>126804.31269572116</v>
      </c>
      <c r="L101" s="186">
        <f t="shared" si="15"/>
        <v>113039221.12117198</v>
      </c>
      <c r="M101" s="194">
        <f t="shared" si="23"/>
        <v>-51151.043496108199</v>
      </c>
      <c r="N101" s="194" t="e">
        <f ca="1">+-VLOOKUP(D101,#REF!,3,0)*L100</f>
        <v>#REF!</v>
      </c>
      <c r="O101" s="194">
        <f t="shared" si="24"/>
        <v>-170190.67095</v>
      </c>
      <c r="P101" s="195">
        <f t="shared" si="25"/>
        <v>83</v>
      </c>
      <c r="Q101" s="198">
        <f t="shared" si="16"/>
        <v>-1589742.7134031227</v>
      </c>
      <c r="R101" s="136"/>
      <c r="W101" s="183"/>
      <c r="X101" s="196"/>
      <c r="Y101" s="188"/>
      <c r="Z101" s="136"/>
      <c r="AA101" s="188"/>
    </row>
    <row r="102" spans="3:27" s="130" customFormat="1" x14ac:dyDescent="0.3">
      <c r="C102" s="189">
        <f t="shared" ca="1" si="17"/>
        <v>47803</v>
      </c>
      <c r="D102" s="190">
        <f t="shared" ca="1" si="18"/>
        <v>33</v>
      </c>
      <c r="E102" s="189">
        <f t="shared" ca="1" si="21"/>
        <v>48062</v>
      </c>
      <c r="F102" s="183" t="s">
        <v>89</v>
      </c>
      <c r="G102" s="183"/>
      <c r="H102" s="186">
        <f t="shared" si="19"/>
        <v>84</v>
      </c>
      <c r="I102" s="197">
        <f t="shared" si="22"/>
        <v>-1368400.9989570146</v>
      </c>
      <c r="J102" s="194">
        <f t="shared" si="14"/>
        <v>1240205.4576320024</v>
      </c>
      <c r="K102" s="186">
        <f t="shared" si="20"/>
        <v>128195.54132501222</v>
      </c>
      <c r="L102" s="186">
        <f t="shared" si="15"/>
        <v>112911025.57984696</v>
      </c>
      <c r="M102" s="194">
        <f t="shared" si="23"/>
        <v>-51093.72794676973</v>
      </c>
      <c r="N102" s="194" t="e">
        <f ca="1">+-VLOOKUP(D102,#REF!,3,0)*L101</f>
        <v>#REF!</v>
      </c>
      <c r="O102" s="194">
        <f t="shared" si="24"/>
        <v>-170190.67095</v>
      </c>
      <c r="P102" s="195">
        <f t="shared" si="25"/>
        <v>84</v>
      </c>
      <c r="Q102" s="198">
        <f t="shared" si="16"/>
        <v>-1589685.3978537843</v>
      </c>
      <c r="R102" s="136"/>
      <c r="W102" s="183"/>
      <c r="X102" s="196"/>
      <c r="Y102" s="188"/>
      <c r="Z102" s="136"/>
      <c r="AA102" s="188"/>
    </row>
    <row r="103" spans="3:27" s="130" customFormat="1" x14ac:dyDescent="0.3">
      <c r="C103" s="189">
        <f t="shared" ca="1" si="17"/>
        <v>47803</v>
      </c>
      <c r="D103" s="190">
        <f t="shared" ca="1" si="18"/>
        <v>33</v>
      </c>
      <c r="E103" s="189">
        <f t="shared" ca="1" si="21"/>
        <v>48093</v>
      </c>
      <c r="F103" s="183" t="s">
        <v>110</v>
      </c>
      <c r="G103" s="183"/>
      <c r="H103" s="186">
        <f t="shared" si="19"/>
        <v>85</v>
      </c>
      <c r="I103" s="197">
        <f t="shared" si="22"/>
        <v>-1368400.9989570146</v>
      </c>
      <c r="J103" s="194">
        <f t="shared" si="14"/>
        <v>1238798.9651914279</v>
      </c>
      <c r="K103" s="186">
        <f t="shared" si="20"/>
        <v>129602.03376558679</v>
      </c>
      <c r="L103" s="186">
        <f t="shared" si="15"/>
        <v>112781423.54608138</v>
      </c>
      <c r="M103" s="194">
        <f t="shared" si="23"/>
        <v>-51035.783562090823</v>
      </c>
      <c r="N103" s="194" t="e">
        <f ca="1">+-VLOOKUP(D103,#REF!,3,0)*L102</f>
        <v>#REF!</v>
      </c>
      <c r="O103" s="194">
        <f t="shared" si="24"/>
        <v>-170190.67095</v>
      </c>
      <c r="P103" s="195">
        <f t="shared" si="25"/>
        <v>85</v>
      </c>
      <c r="Q103" s="198">
        <f t="shared" si="16"/>
        <v>-1589627.4534691053</v>
      </c>
      <c r="R103" s="136"/>
      <c r="W103" s="183"/>
      <c r="X103" s="196"/>
      <c r="Y103" s="188"/>
      <c r="Z103" s="136"/>
      <c r="AA103" s="188"/>
    </row>
    <row r="104" spans="3:27" s="130" customFormat="1" x14ac:dyDescent="0.3">
      <c r="C104" s="189">
        <f t="shared" ca="1" si="17"/>
        <v>47803</v>
      </c>
      <c r="D104" s="190">
        <f t="shared" ca="1" si="18"/>
        <v>33</v>
      </c>
      <c r="E104" s="189">
        <f t="shared" ca="1" si="21"/>
        <v>48123</v>
      </c>
      <c r="F104" s="183" t="s">
        <v>111</v>
      </c>
      <c r="G104" s="183"/>
      <c r="H104" s="186">
        <f t="shared" si="19"/>
        <v>86</v>
      </c>
      <c r="I104" s="197">
        <f t="shared" si="22"/>
        <v>-1368400.9989570146</v>
      </c>
      <c r="J104" s="194">
        <f t="shared" si="14"/>
        <v>1237377.0414732522</v>
      </c>
      <c r="K104" s="186">
        <f t="shared" si="20"/>
        <v>131023.95748376241</v>
      </c>
      <c r="L104" s="186">
        <f t="shared" si="15"/>
        <v>112650399.58859761</v>
      </c>
      <c r="M104" s="194">
        <f t="shared" si="23"/>
        <v>-50977.203442828781</v>
      </c>
      <c r="N104" s="194" t="e">
        <f ca="1">+-VLOOKUP(D104,#REF!,3,0)*L103</f>
        <v>#REF!</v>
      </c>
      <c r="O104" s="194">
        <f t="shared" si="24"/>
        <v>-170190.67095</v>
      </c>
      <c r="P104" s="195">
        <f t="shared" si="25"/>
        <v>86</v>
      </c>
      <c r="Q104" s="198">
        <f t="shared" si="16"/>
        <v>-1589568.8733498433</v>
      </c>
      <c r="R104" s="136"/>
      <c r="W104" s="183"/>
      <c r="X104" s="196"/>
      <c r="Y104" s="188"/>
      <c r="Z104" s="136"/>
      <c r="AA104" s="188"/>
    </row>
    <row r="105" spans="3:27" s="130" customFormat="1" x14ac:dyDescent="0.3">
      <c r="C105" s="189">
        <f t="shared" ca="1" si="17"/>
        <v>47803</v>
      </c>
      <c r="D105" s="190">
        <f t="shared" ca="1" si="18"/>
        <v>33</v>
      </c>
      <c r="E105" s="189">
        <f t="shared" ca="1" si="21"/>
        <v>48154</v>
      </c>
      <c r="F105" s="183" t="s">
        <v>112</v>
      </c>
      <c r="G105" s="183"/>
      <c r="H105" s="186">
        <f t="shared" si="19"/>
        <v>87</v>
      </c>
      <c r="I105" s="197">
        <f t="shared" si="22"/>
        <v>-1368400.9989570146</v>
      </c>
      <c r="J105" s="194">
        <f t="shared" si="14"/>
        <v>1235939.5171738083</v>
      </c>
      <c r="K105" s="186">
        <f t="shared" si="20"/>
        <v>132461.48178320634</v>
      </c>
      <c r="L105" s="186">
        <f t="shared" si="15"/>
        <v>112517938.1068144</v>
      </c>
      <c r="M105" s="194">
        <f t="shared" si="23"/>
        <v>-50917.980614046115</v>
      </c>
      <c r="N105" s="194" t="e">
        <f ca="1">+-VLOOKUP(D105,#REF!,3,0)*L104</f>
        <v>#REF!</v>
      </c>
      <c r="O105" s="194">
        <f t="shared" si="24"/>
        <v>-170190.67095</v>
      </c>
      <c r="P105" s="195">
        <f t="shared" si="25"/>
        <v>87</v>
      </c>
      <c r="Q105" s="198">
        <f t="shared" si="16"/>
        <v>-1589509.6505210607</v>
      </c>
      <c r="R105" s="136"/>
      <c r="W105" s="183"/>
      <c r="X105" s="196"/>
      <c r="Y105" s="188"/>
      <c r="Z105" s="136"/>
      <c r="AA105" s="188"/>
    </row>
    <row r="106" spans="3:27" s="130" customFormat="1" x14ac:dyDescent="0.3">
      <c r="C106" s="189">
        <f t="shared" ca="1" si="17"/>
        <v>48168</v>
      </c>
      <c r="D106" s="190">
        <f t="shared" ca="1" si="18"/>
        <v>34</v>
      </c>
      <c r="E106" s="189">
        <f t="shared" ca="1" si="21"/>
        <v>48184</v>
      </c>
      <c r="F106" s="183" t="s">
        <v>113</v>
      </c>
      <c r="G106" s="183"/>
      <c r="H106" s="186">
        <f t="shared" si="19"/>
        <v>88</v>
      </c>
      <c r="I106" s="197">
        <f t="shared" si="22"/>
        <v>-1368400.9989570146</v>
      </c>
      <c r="J106" s="194">
        <f t="shared" si="14"/>
        <v>1234486.2211319197</v>
      </c>
      <c r="K106" s="186">
        <f t="shared" si="20"/>
        <v>133914.77782509499</v>
      </c>
      <c r="L106" s="186">
        <f t="shared" si="15"/>
        <v>112384023.3289893</v>
      </c>
      <c r="M106" s="194">
        <f t="shared" si="23"/>
        <v>-50858.108024280104</v>
      </c>
      <c r="N106" s="194" t="e">
        <f ca="1">+-VLOOKUP(D106,#REF!,3,0)*L105</f>
        <v>#REF!</v>
      </c>
      <c r="O106" s="194">
        <f t="shared" si="24"/>
        <v>-170190.67095</v>
      </c>
      <c r="P106" s="195">
        <f t="shared" si="25"/>
        <v>88</v>
      </c>
      <c r="Q106" s="198">
        <f t="shared" si="16"/>
        <v>-1589449.7779312946</v>
      </c>
      <c r="R106" s="136"/>
      <c r="W106" s="183"/>
      <c r="X106" s="196"/>
      <c r="Y106" s="188"/>
      <c r="Z106" s="136"/>
      <c r="AA106" s="188"/>
    </row>
    <row r="107" spans="3:27" s="130" customFormat="1" x14ac:dyDescent="0.3">
      <c r="C107" s="189">
        <f t="shared" ca="1" si="17"/>
        <v>48168</v>
      </c>
      <c r="D107" s="190">
        <f t="shared" ca="1" si="18"/>
        <v>34</v>
      </c>
      <c r="E107" s="189">
        <f t="shared" ca="1" si="21"/>
        <v>48215</v>
      </c>
      <c r="F107" s="183" t="s">
        <v>114</v>
      </c>
      <c r="G107" s="183"/>
      <c r="H107" s="186">
        <f t="shared" si="19"/>
        <v>89</v>
      </c>
      <c r="I107" s="197">
        <f t="shared" si="22"/>
        <v>-1368400.9989570146</v>
      </c>
      <c r="J107" s="194">
        <f t="shared" si="14"/>
        <v>1233016.9803085225</v>
      </c>
      <c r="K107" s="186">
        <f t="shared" si="20"/>
        <v>135384.01864849217</v>
      </c>
      <c r="L107" s="186">
        <f t="shared" si="15"/>
        <v>112248639.31034081</v>
      </c>
      <c r="M107" s="194">
        <f t="shared" si="23"/>
        <v>-50797.578544703159</v>
      </c>
      <c r="N107" s="194" t="e">
        <f ca="1">+-VLOOKUP(D107,#REF!,3,0)*L106</f>
        <v>#REF!</v>
      </c>
      <c r="O107" s="194">
        <f t="shared" si="24"/>
        <v>-170190.67095</v>
      </c>
      <c r="P107" s="195">
        <f t="shared" si="25"/>
        <v>89</v>
      </c>
      <c r="Q107" s="198">
        <f t="shared" si="16"/>
        <v>-1589389.2484517177</v>
      </c>
      <c r="R107" s="136"/>
      <c r="W107" s="183"/>
      <c r="X107" s="196"/>
      <c r="Y107" s="188"/>
      <c r="Z107" s="136"/>
      <c r="AA107" s="188"/>
    </row>
    <row r="108" spans="3:27" s="130" customFormat="1" x14ac:dyDescent="0.3">
      <c r="C108" s="189">
        <f t="shared" ca="1" si="17"/>
        <v>48168</v>
      </c>
      <c r="D108" s="190">
        <f t="shared" ca="1" si="18"/>
        <v>34</v>
      </c>
      <c r="E108" s="189">
        <f t="shared" ca="1" si="21"/>
        <v>48246</v>
      </c>
      <c r="F108" s="183" t="s">
        <v>115</v>
      </c>
      <c r="G108" s="183"/>
      <c r="H108" s="186">
        <f t="shared" si="19"/>
        <v>90</v>
      </c>
      <c r="I108" s="197">
        <f t="shared" si="22"/>
        <v>-1368400.9989570146</v>
      </c>
      <c r="J108" s="194">
        <f t="shared" si="14"/>
        <v>1231531.6197660605</v>
      </c>
      <c r="K108" s="186">
        <f t="shared" si="20"/>
        <v>136869.37919095415</v>
      </c>
      <c r="L108" s="186">
        <f t="shared" si="15"/>
        <v>112111769.93114986</v>
      </c>
      <c r="M108" s="194">
        <f t="shared" si="23"/>
        <v>-50736.38496827404</v>
      </c>
      <c r="N108" s="194" t="e">
        <f ca="1">+-VLOOKUP(D108,#REF!,3,0)*L107</f>
        <v>#REF!</v>
      </c>
      <c r="O108" s="194">
        <f t="shared" si="24"/>
        <v>-170190.67095</v>
      </c>
      <c r="P108" s="195">
        <f t="shared" si="25"/>
        <v>90</v>
      </c>
      <c r="Q108" s="198">
        <f t="shared" si="16"/>
        <v>-1589328.0548752886</v>
      </c>
      <c r="R108" s="136"/>
      <c r="W108" s="183"/>
      <c r="X108" s="196"/>
      <c r="Y108" s="188"/>
      <c r="Z108" s="136"/>
      <c r="AA108" s="188"/>
    </row>
    <row r="109" spans="3:27" s="130" customFormat="1" x14ac:dyDescent="0.3">
      <c r="C109" s="189">
        <f t="shared" ca="1" si="17"/>
        <v>48168</v>
      </c>
      <c r="D109" s="190">
        <f t="shared" ca="1" si="18"/>
        <v>34</v>
      </c>
      <c r="E109" s="189">
        <f t="shared" ca="1" si="21"/>
        <v>48275</v>
      </c>
      <c r="F109" s="183" t="s">
        <v>116</v>
      </c>
      <c r="G109" s="183"/>
      <c r="H109" s="186">
        <f t="shared" si="19"/>
        <v>91</v>
      </c>
      <c r="I109" s="197">
        <f t="shared" si="22"/>
        <v>-1368400.9989570146</v>
      </c>
      <c r="J109" s="194">
        <f t="shared" si="14"/>
        <v>1230029.9626476576</v>
      </c>
      <c r="K109" s="186">
        <f t="shared" si="20"/>
        <v>138371.03630935703</v>
      </c>
      <c r="L109" s="186">
        <f t="shared" si="15"/>
        <v>111973398.89484049</v>
      </c>
      <c r="M109" s="194">
        <f t="shared" si="23"/>
        <v>-50674.520008879736</v>
      </c>
      <c r="N109" s="194" t="e">
        <f ca="1">+-VLOOKUP(D109,#REF!,3,0)*L108</f>
        <v>#REF!</v>
      </c>
      <c r="O109" s="194">
        <f t="shared" si="24"/>
        <v>-170190.67095</v>
      </c>
      <c r="P109" s="195">
        <f t="shared" si="25"/>
        <v>91</v>
      </c>
      <c r="Q109" s="198">
        <f t="shared" si="16"/>
        <v>-1589266.1899158943</v>
      </c>
      <c r="R109" s="136"/>
      <c r="W109" s="183"/>
      <c r="X109" s="196"/>
      <c r="Y109" s="188"/>
      <c r="Z109" s="136"/>
      <c r="AA109" s="188"/>
    </row>
    <row r="110" spans="3:27" s="130" customFormat="1" x14ac:dyDescent="0.3">
      <c r="C110" s="189">
        <f t="shared" ca="1" si="17"/>
        <v>48168</v>
      </c>
      <c r="D110" s="190">
        <f t="shared" ca="1" si="18"/>
        <v>34</v>
      </c>
      <c r="E110" s="189">
        <f t="shared" ca="1" si="21"/>
        <v>48306</v>
      </c>
      <c r="F110" s="183" t="s">
        <v>117</v>
      </c>
      <c r="G110" s="183"/>
      <c r="H110" s="186">
        <f t="shared" si="19"/>
        <v>92</v>
      </c>
      <c r="I110" s="197">
        <f t="shared" si="22"/>
        <v>-1368400.9989570146</v>
      </c>
      <c r="J110" s="194">
        <f t="shared" si="14"/>
        <v>1228511.830156059</v>
      </c>
      <c r="K110" s="186">
        <f t="shared" si="20"/>
        <v>139889.16880095564</v>
      </c>
      <c r="L110" s="186">
        <f t="shared" si="15"/>
        <v>111833509.72603954</v>
      </c>
      <c r="M110" s="194">
        <f t="shared" si="23"/>
        <v>-50611.976300467904</v>
      </c>
      <c r="N110" s="194" t="e">
        <f ca="1">+-VLOOKUP(D110,#REF!,3,0)*L109</f>
        <v>#REF!</v>
      </c>
      <c r="O110" s="194">
        <f t="shared" si="24"/>
        <v>-170190.67095</v>
      </c>
      <c r="P110" s="195">
        <f t="shared" si="25"/>
        <v>92</v>
      </c>
      <c r="Q110" s="198">
        <f t="shared" si="16"/>
        <v>-1589203.6462074826</v>
      </c>
      <c r="R110" s="136"/>
      <c r="W110" s="183"/>
      <c r="X110" s="196"/>
      <c r="Y110" s="188"/>
      <c r="Z110" s="136"/>
      <c r="AA110" s="188"/>
    </row>
    <row r="111" spans="3:27" s="130" customFormat="1" x14ac:dyDescent="0.3">
      <c r="C111" s="189">
        <f t="shared" ca="1" si="17"/>
        <v>48168</v>
      </c>
      <c r="D111" s="190">
        <f t="shared" ca="1" si="18"/>
        <v>34</v>
      </c>
      <c r="E111" s="189">
        <f t="shared" ca="1" si="21"/>
        <v>48336</v>
      </c>
      <c r="F111" s="183" t="s">
        <v>118</v>
      </c>
      <c r="G111" s="183"/>
      <c r="H111" s="186">
        <f t="shared" si="19"/>
        <v>93</v>
      </c>
      <c r="I111" s="197">
        <f t="shared" si="22"/>
        <v>-1368400.9989570146</v>
      </c>
      <c r="J111" s="194">
        <f t="shared" si="14"/>
        <v>1226977.0415323426</v>
      </c>
      <c r="K111" s="186">
        <f t="shared" si="20"/>
        <v>141423.95742467209</v>
      </c>
      <c r="L111" s="186">
        <f t="shared" si="15"/>
        <v>111692085.76861487</v>
      </c>
      <c r="M111" s="194">
        <f t="shared" si="23"/>
        <v>-50548.746396169874</v>
      </c>
      <c r="N111" s="194" t="e">
        <f ca="1">+-VLOOKUP(D111,#REF!,3,0)*L110</f>
        <v>#REF!</v>
      </c>
      <c r="O111" s="194">
        <f t="shared" si="24"/>
        <v>-170190.67095</v>
      </c>
      <c r="P111" s="195">
        <f t="shared" si="25"/>
        <v>93</v>
      </c>
      <c r="Q111" s="198">
        <f t="shared" si="16"/>
        <v>-1589140.4163031843</v>
      </c>
      <c r="R111" s="136"/>
      <c r="W111" s="183"/>
      <c r="X111" s="196"/>
      <c r="Y111" s="188"/>
      <c r="Z111" s="136"/>
      <c r="AA111" s="188"/>
    </row>
    <row r="112" spans="3:27" s="130" customFormat="1" x14ac:dyDescent="0.3">
      <c r="C112" s="189">
        <f t="shared" ca="1" si="17"/>
        <v>48168</v>
      </c>
      <c r="D112" s="190">
        <f t="shared" ca="1" si="18"/>
        <v>34</v>
      </c>
      <c r="E112" s="189">
        <f t="shared" ca="1" si="21"/>
        <v>48367</v>
      </c>
      <c r="F112" s="183" t="s">
        <v>119</v>
      </c>
      <c r="G112" s="183"/>
      <c r="H112" s="186">
        <f t="shared" si="19"/>
        <v>94</v>
      </c>
      <c r="I112" s="197">
        <f t="shared" si="22"/>
        <v>-1368400.9989570146</v>
      </c>
      <c r="J112" s="194">
        <f t="shared" si="14"/>
        <v>1225425.4140343966</v>
      </c>
      <c r="K112" s="186">
        <f t="shared" si="20"/>
        <v>142975.584922618</v>
      </c>
      <c r="L112" s="186">
        <f t="shared" si="15"/>
        <v>111549110.18369226</v>
      </c>
      <c r="M112" s="194">
        <f t="shared" si="23"/>
        <v>-50484.82276741392</v>
      </c>
      <c r="N112" s="194" t="e">
        <f ca="1">+-VLOOKUP(D112,#REF!,3,0)*L111</f>
        <v>#REF!</v>
      </c>
      <c r="O112" s="194">
        <f t="shared" si="24"/>
        <v>-170190.67095</v>
      </c>
      <c r="P112" s="195">
        <f t="shared" si="25"/>
        <v>94</v>
      </c>
      <c r="Q112" s="198">
        <f t="shared" si="16"/>
        <v>-1589076.4926744285</v>
      </c>
      <c r="R112" s="136"/>
      <c r="W112" s="183"/>
      <c r="X112" s="196"/>
      <c r="Y112" s="188"/>
      <c r="Z112" s="136"/>
      <c r="AA112" s="188"/>
    </row>
    <row r="113" spans="3:27" s="130" customFormat="1" x14ac:dyDescent="0.3">
      <c r="C113" s="189">
        <f t="shared" ca="1" si="17"/>
        <v>48168</v>
      </c>
      <c r="D113" s="190">
        <f t="shared" ca="1" si="18"/>
        <v>34</v>
      </c>
      <c r="E113" s="189">
        <f t="shared" ca="1" si="21"/>
        <v>48397</v>
      </c>
      <c r="F113" s="183" t="s">
        <v>120</v>
      </c>
      <c r="G113" s="183"/>
      <c r="H113" s="186">
        <f t="shared" si="19"/>
        <v>95</v>
      </c>
      <c r="I113" s="197">
        <f t="shared" si="22"/>
        <v>-1368400.9989570146</v>
      </c>
      <c r="J113" s="194">
        <f t="shared" si="14"/>
        <v>1223856.7629151619</v>
      </c>
      <c r="K113" s="186">
        <f t="shared" si="20"/>
        <v>144544.23604185274</v>
      </c>
      <c r="L113" s="186">
        <f t="shared" si="15"/>
        <v>111404565.9476504</v>
      </c>
      <c r="M113" s="194">
        <f t="shared" si="23"/>
        <v>-50420.197803028903</v>
      </c>
      <c r="N113" s="194" t="e">
        <f ca="1">+-VLOOKUP(D113,#REF!,3,0)*L112</f>
        <v>#REF!</v>
      </c>
      <c r="O113" s="194">
        <f t="shared" si="24"/>
        <v>-170190.67095</v>
      </c>
      <c r="P113" s="195">
        <f t="shared" si="25"/>
        <v>95</v>
      </c>
      <c r="Q113" s="198">
        <f t="shared" si="16"/>
        <v>-1589011.8677100434</v>
      </c>
      <c r="R113" s="136"/>
      <c r="W113" s="183"/>
      <c r="X113" s="196"/>
      <c r="Y113" s="188"/>
      <c r="Z113" s="136"/>
      <c r="AA113" s="188"/>
    </row>
    <row r="114" spans="3:27" s="130" customFormat="1" x14ac:dyDescent="0.3">
      <c r="C114" s="189">
        <f t="shared" ca="1" si="17"/>
        <v>48168</v>
      </c>
      <c r="D114" s="190">
        <f t="shared" ca="1" si="18"/>
        <v>34</v>
      </c>
      <c r="E114" s="189">
        <f t="shared" ca="1" si="21"/>
        <v>48428</v>
      </c>
      <c r="F114" s="183" t="s">
        <v>121</v>
      </c>
      <c r="G114" s="183"/>
      <c r="H114" s="186">
        <f t="shared" si="19"/>
        <v>96</v>
      </c>
      <c r="I114" s="197">
        <f t="shared" si="22"/>
        <v>-1368400.9989570146</v>
      </c>
      <c r="J114" s="194">
        <f t="shared" si="14"/>
        <v>1222270.9014006332</v>
      </c>
      <c r="K114" s="186">
        <f t="shared" si="20"/>
        <v>146130.09755638149</v>
      </c>
      <c r="L114" s="186">
        <f t="shared" si="15"/>
        <v>111258435.85009402</v>
      </c>
      <c r="M114" s="194">
        <f t="shared" si="23"/>
        <v>-50354.863808337977</v>
      </c>
      <c r="N114" s="194" t="e">
        <f ca="1">+-VLOOKUP(D114,#REF!,3,0)*L113</f>
        <v>#REF!</v>
      </c>
      <c r="O114" s="194">
        <f t="shared" si="24"/>
        <v>-170190.67095</v>
      </c>
      <c r="P114" s="195">
        <f t="shared" si="25"/>
        <v>96</v>
      </c>
      <c r="Q114" s="198">
        <f t="shared" si="16"/>
        <v>-1588946.5337153526</v>
      </c>
      <c r="R114" s="136"/>
      <c r="W114" s="183"/>
      <c r="X114" s="196"/>
      <c r="Y114" s="188"/>
      <c r="Z114" s="136"/>
      <c r="AA114" s="188"/>
    </row>
    <row r="115" spans="3:27" s="130" customFormat="1" x14ac:dyDescent="0.3">
      <c r="C115" s="189">
        <f t="shared" ca="1" si="17"/>
        <v>48168</v>
      </c>
      <c r="D115" s="190">
        <f t="shared" ca="1" si="18"/>
        <v>34</v>
      </c>
      <c r="E115" s="189">
        <f t="shared" ca="1" si="21"/>
        <v>48459</v>
      </c>
      <c r="F115" s="183" t="s">
        <v>122</v>
      </c>
      <c r="G115" s="183"/>
      <c r="H115" s="186">
        <f t="shared" si="19"/>
        <v>97</v>
      </c>
      <c r="I115" s="197">
        <f t="shared" si="22"/>
        <v>-1368400.9989570146</v>
      </c>
      <c r="J115" s="194">
        <f t="shared" si="14"/>
        <v>1220667.6406676222</v>
      </c>
      <c r="K115" s="186">
        <f t="shared" si="20"/>
        <v>147733.35828939243</v>
      </c>
      <c r="L115" s="186">
        <f t="shared" si="15"/>
        <v>111110702.49180463</v>
      </c>
      <c r="M115" s="194">
        <f t="shared" si="23"/>
        <v>-50288.813004242496</v>
      </c>
      <c r="N115" s="194" t="e">
        <f ca="1">+-VLOOKUP(D115,#REF!,3,0)*L114</f>
        <v>#REF!</v>
      </c>
      <c r="O115" s="194">
        <f t="shared" si="24"/>
        <v>-170190.67095</v>
      </c>
      <c r="P115" s="195">
        <f t="shared" si="25"/>
        <v>97</v>
      </c>
      <c r="Q115" s="198">
        <f t="shared" si="16"/>
        <v>-1588880.4829112571</v>
      </c>
      <c r="R115" s="136"/>
      <c r="W115" s="183"/>
      <c r="X115" s="196"/>
      <c r="Y115" s="188"/>
      <c r="Z115" s="136"/>
      <c r="AA115" s="188"/>
    </row>
    <row r="116" spans="3:27" s="130" customFormat="1" x14ac:dyDescent="0.3">
      <c r="C116" s="189">
        <f t="shared" ca="1" si="17"/>
        <v>48168</v>
      </c>
      <c r="D116" s="190">
        <f t="shared" ca="1" si="18"/>
        <v>34</v>
      </c>
      <c r="E116" s="189">
        <f t="shared" ca="1" si="21"/>
        <v>48489</v>
      </c>
      <c r="F116" s="183" t="s">
        <v>123</v>
      </c>
      <c r="G116" s="183"/>
      <c r="H116" s="186">
        <f t="shared" si="19"/>
        <v>98</v>
      </c>
      <c r="I116" s="197">
        <f t="shared" si="22"/>
        <v>-1368400.9989570146</v>
      </c>
      <c r="J116" s="194">
        <f t="shared" si="14"/>
        <v>1219046.7898212739</v>
      </c>
      <c r="K116" s="186">
        <f t="shared" si="20"/>
        <v>149354.20913574076</v>
      </c>
      <c r="L116" s="186">
        <f t="shared" si="15"/>
        <v>110961348.28266889</v>
      </c>
      <c r="M116" s="194">
        <f t="shared" si="23"/>
        <v>-50222.037526295688</v>
      </c>
      <c r="N116" s="194" t="e">
        <f ca="1">+-VLOOKUP(D116,#REF!,3,0)*L115</f>
        <v>#REF!</v>
      </c>
      <c r="O116" s="194">
        <f t="shared" si="24"/>
        <v>-170190.67095</v>
      </c>
      <c r="P116" s="195">
        <f t="shared" si="25"/>
        <v>98</v>
      </c>
      <c r="Q116" s="198">
        <f t="shared" si="16"/>
        <v>-1588813.7074333103</v>
      </c>
      <c r="R116" s="136"/>
      <c r="W116" s="183"/>
      <c r="X116" s="196"/>
      <c r="Y116" s="188"/>
      <c r="Z116" s="136"/>
      <c r="AA116" s="188"/>
    </row>
    <row r="117" spans="3:27" s="130" customFormat="1" x14ac:dyDescent="0.3">
      <c r="C117" s="189">
        <f t="shared" ca="1" si="17"/>
        <v>48168</v>
      </c>
      <c r="D117" s="190">
        <f t="shared" ca="1" si="18"/>
        <v>34</v>
      </c>
      <c r="E117" s="189">
        <f t="shared" ca="1" si="21"/>
        <v>48520</v>
      </c>
      <c r="F117" s="183" t="s">
        <v>124</v>
      </c>
      <c r="G117" s="183"/>
      <c r="H117" s="186">
        <f t="shared" si="19"/>
        <v>99</v>
      </c>
      <c r="I117" s="197">
        <f t="shared" si="22"/>
        <v>-1368400.9989570146</v>
      </c>
      <c r="J117" s="194">
        <f t="shared" si="14"/>
        <v>1217408.1558723378</v>
      </c>
      <c r="K117" s="186">
        <f t="shared" si="20"/>
        <v>150992.84308467689</v>
      </c>
      <c r="L117" s="186">
        <f t="shared" si="15"/>
        <v>110810355.43958421</v>
      </c>
      <c r="M117" s="194">
        <f t="shared" si="23"/>
        <v>-50154.529423766333</v>
      </c>
      <c r="N117" s="194" t="e">
        <f ca="1">+-VLOOKUP(D117,#REF!,3,0)*L116</f>
        <v>#REF!</v>
      </c>
      <c r="O117" s="194">
        <f t="shared" si="24"/>
        <v>-170190.67095</v>
      </c>
      <c r="P117" s="195">
        <f t="shared" si="25"/>
        <v>99</v>
      </c>
      <c r="Q117" s="198">
        <f t="shared" si="16"/>
        <v>-1588746.1993307809</v>
      </c>
      <c r="R117" s="136"/>
      <c r="W117" s="183"/>
      <c r="X117" s="196"/>
      <c r="Y117" s="188"/>
      <c r="Z117" s="136"/>
      <c r="AA117" s="188"/>
    </row>
    <row r="118" spans="3:27" s="130" customFormat="1" x14ac:dyDescent="0.3">
      <c r="C118" s="189">
        <f t="shared" ca="1" si="17"/>
        <v>48534</v>
      </c>
      <c r="D118" s="190">
        <f t="shared" ca="1" si="18"/>
        <v>35</v>
      </c>
      <c r="E118" s="189">
        <f t="shared" ca="1" si="21"/>
        <v>48550</v>
      </c>
      <c r="F118" s="183" t="s">
        <v>125</v>
      </c>
      <c r="G118" s="183"/>
      <c r="H118" s="186">
        <f t="shared" si="19"/>
        <v>100</v>
      </c>
      <c r="I118" s="197">
        <f t="shared" si="22"/>
        <v>-1368400.9989570146</v>
      </c>
      <c r="J118" s="194">
        <f t="shared" si="14"/>
        <v>1215751.543714189</v>
      </c>
      <c r="K118" s="186">
        <f t="shared" si="20"/>
        <v>152649.45524282567</v>
      </c>
      <c r="L118" s="186">
        <f t="shared" si="15"/>
        <v>110657705.98434138</v>
      </c>
      <c r="M118" s="194">
        <f t="shared" si="23"/>
        <v>-50086.280658692063</v>
      </c>
      <c r="N118" s="194" t="e">
        <f ca="1">+-VLOOKUP(D118,#REF!,3,0)*L117</f>
        <v>#REF!</v>
      </c>
      <c r="O118" s="194">
        <f t="shared" si="24"/>
        <v>-170190.67095</v>
      </c>
      <c r="P118" s="195">
        <f t="shared" si="25"/>
        <v>100</v>
      </c>
      <c r="Q118" s="198">
        <f t="shared" si="16"/>
        <v>-1588677.9505657067</v>
      </c>
      <c r="R118" s="136"/>
      <c r="W118" s="183"/>
      <c r="X118" s="196"/>
      <c r="Y118" s="188"/>
      <c r="Z118" s="136"/>
      <c r="AA118" s="188"/>
    </row>
    <row r="119" spans="3:27" s="130" customFormat="1" x14ac:dyDescent="0.3">
      <c r="C119" s="189">
        <f t="shared" ca="1" si="17"/>
        <v>48534</v>
      </c>
      <c r="D119" s="190">
        <f t="shared" ca="1" si="18"/>
        <v>35</v>
      </c>
      <c r="E119" s="189">
        <f t="shared" ca="1" si="21"/>
        <v>48581</v>
      </c>
      <c r="F119" s="183" t="s">
        <v>126</v>
      </c>
      <c r="G119" s="183"/>
      <c r="H119" s="186">
        <f t="shared" si="19"/>
        <v>101</v>
      </c>
      <c r="I119" s="197">
        <f t="shared" si="22"/>
        <v>-1368400.9989570146</v>
      </c>
      <c r="J119" s="194">
        <f t="shared" si="14"/>
        <v>1214076.7560995985</v>
      </c>
      <c r="K119" s="186">
        <f t="shared" si="20"/>
        <v>154324.24285741616</v>
      </c>
      <c r="L119" s="186">
        <f t="shared" si="15"/>
        <v>110503381.74148397</v>
      </c>
      <c r="M119" s="194">
        <f t="shared" si="23"/>
        <v>-50017.283104922302</v>
      </c>
      <c r="N119" s="194" t="e">
        <f ca="1">+-VLOOKUP(D119,#REF!,3,0)*L118</f>
        <v>#REF!</v>
      </c>
      <c r="O119" s="194">
        <f t="shared" si="24"/>
        <v>-170190.67095</v>
      </c>
      <c r="P119" s="195">
        <f t="shared" si="25"/>
        <v>101</v>
      </c>
      <c r="Q119" s="198">
        <f t="shared" si="16"/>
        <v>-1588608.953011937</v>
      </c>
      <c r="R119" s="136"/>
      <c r="W119" s="183"/>
      <c r="X119" s="196"/>
      <c r="Y119" s="188"/>
      <c r="Z119" s="136"/>
      <c r="AA119" s="188"/>
    </row>
    <row r="120" spans="3:27" s="130" customFormat="1" x14ac:dyDescent="0.3">
      <c r="C120" s="189">
        <f t="shared" ca="1" si="17"/>
        <v>48534</v>
      </c>
      <c r="D120" s="190">
        <f t="shared" ca="1" si="18"/>
        <v>35</v>
      </c>
      <c r="E120" s="189">
        <f t="shared" ca="1" si="21"/>
        <v>48612</v>
      </c>
      <c r="F120" s="183" t="s">
        <v>127</v>
      </c>
      <c r="G120" s="183"/>
      <c r="H120" s="186">
        <f t="shared" si="19"/>
        <v>102</v>
      </c>
      <c r="I120" s="197">
        <f t="shared" si="22"/>
        <v>-1368400.9989570146</v>
      </c>
      <c r="J120" s="194">
        <f t="shared" si="14"/>
        <v>1212383.5936172463</v>
      </c>
      <c r="K120" s="186">
        <f t="shared" si="20"/>
        <v>156017.40533976839</v>
      </c>
      <c r="L120" s="186">
        <f t="shared" si="15"/>
        <v>110347364.33614421</v>
      </c>
      <c r="M120" s="194">
        <f t="shared" si="23"/>
        <v>-49947.528547150752</v>
      </c>
      <c r="N120" s="194" t="e">
        <f ca="1">+-VLOOKUP(D120,#REF!,3,0)*L119</f>
        <v>#REF!</v>
      </c>
      <c r="O120" s="194">
        <f t="shared" si="24"/>
        <v>-170190.67095</v>
      </c>
      <c r="P120" s="195">
        <f t="shared" si="25"/>
        <v>102</v>
      </c>
      <c r="Q120" s="198">
        <f t="shared" si="16"/>
        <v>-1588539.1984541654</v>
      </c>
      <c r="R120" s="136"/>
      <c r="W120" s="183"/>
      <c r="X120" s="196"/>
      <c r="Y120" s="188"/>
      <c r="Z120" s="136"/>
      <c r="AA120" s="188"/>
    </row>
    <row r="121" spans="3:27" s="130" customFormat="1" x14ac:dyDescent="0.3">
      <c r="C121" s="189">
        <f t="shared" ca="1" si="17"/>
        <v>48534</v>
      </c>
      <c r="D121" s="190">
        <f t="shared" ca="1" si="18"/>
        <v>35</v>
      </c>
      <c r="E121" s="189">
        <f t="shared" ca="1" si="21"/>
        <v>48640</v>
      </c>
      <c r="F121" s="183" t="s">
        <v>128</v>
      </c>
      <c r="G121" s="183"/>
      <c r="H121" s="186">
        <f t="shared" si="19"/>
        <v>103</v>
      </c>
      <c r="I121" s="197">
        <f t="shared" si="22"/>
        <v>-1368400.9989570146</v>
      </c>
      <c r="J121" s="194">
        <f t="shared" si="14"/>
        <v>1210671.8546679788</v>
      </c>
      <c r="K121" s="186">
        <f t="shared" si="20"/>
        <v>157729.14428903582</v>
      </c>
      <c r="L121" s="186">
        <f t="shared" si="15"/>
        <v>110189635.19185518</v>
      </c>
      <c r="M121" s="194">
        <f t="shared" si="23"/>
        <v>-49877.008679937178</v>
      </c>
      <c r="N121" s="194" t="e">
        <f ca="1">+-VLOOKUP(D121,#REF!,3,0)*L120</f>
        <v>#REF!</v>
      </c>
      <c r="O121" s="194">
        <f t="shared" si="24"/>
        <v>-170190.67095</v>
      </c>
      <c r="P121" s="195">
        <f t="shared" si="25"/>
        <v>103</v>
      </c>
      <c r="Q121" s="198">
        <f t="shared" si="16"/>
        <v>-1588468.6785869517</v>
      </c>
      <c r="R121" s="136"/>
      <c r="W121" s="183"/>
      <c r="X121" s="196"/>
      <c r="Y121" s="188"/>
      <c r="Z121" s="136"/>
      <c r="AA121" s="188"/>
    </row>
    <row r="122" spans="3:27" s="130" customFormat="1" x14ac:dyDescent="0.3">
      <c r="C122" s="189">
        <f t="shared" ca="1" si="17"/>
        <v>48534</v>
      </c>
      <c r="D122" s="190">
        <f t="shared" ca="1" si="18"/>
        <v>35</v>
      </c>
      <c r="E122" s="189">
        <f t="shared" ca="1" si="21"/>
        <v>48671</v>
      </c>
      <c r="F122" s="183" t="s">
        <v>129</v>
      </c>
      <c r="G122" s="183"/>
      <c r="H122" s="186">
        <f t="shared" si="19"/>
        <v>104</v>
      </c>
      <c r="I122" s="197">
        <f t="shared" si="22"/>
        <v>-1368400.9989570146</v>
      </c>
      <c r="J122" s="194">
        <f t="shared" si="14"/>
        <v>1208941.3354408054</v>
      </c>
      <c r="K122" s="186">
        <f t="shared" si="20"/>
        <v>159459.66351620923</v>
      </c>
      <c r="L122" s="186">
        <f t="shared" si="15"/>
        <v>110030175.52833897</v>
      </c>
      <c r="M122" s="194">
        <f t="shared" si="23"/>
        <v>-49805.71510671854</v>
      </c>
      <c r="N122" s="194" t="e">
        <f ca="1">+-VLOOKUP(D122,#REF!,3,0)*L121</f>
        <v>#REF!</v>
      </c>
      <c r="O122" s="194">
        <f t="shared" si="24"/>
        <v>-170190.67095</v>
      </c>
      <c r="P122" s="195">
        <f t="shared" si="25"/>
        <v>104</v>
      </c>
      <c r="Q122" s="198">
        <f t="shared" si="16"/>
        <v>-1588397.3850137331</v>
      </c>
      <c r="R122" s="136"/>
      <c r="W122" s="183"/>
      <c r="X122" s="196"/>
      <c r="Y122" s="188"/>
      <c r="Z122" s="136"/>
      <c r="AA122" s="188"/>
    </row>
    <row r="123" spans="3:27" s="130" customFormat="1" x14ac:dyDescent="0.3">
      <c r="C123" s="189">
        <f t="shared" ca="1" si="17"/>
        <v>48534</v>
      </c>
      <c r="D123" s="190">
        <f t="shared" ca="1" si="18"/>
        <v>35</v>
      </c>
      <c r="E123" s="189">
        <f t="shared" ca="1" si="21"/>
        <v>48701</v>
      </c>
      <c r="F123" s="183" t="s">
        <v>130</v>
      </c>
      <c r="G123" s="183"/>
      <c r="H123" s="186">
        <f t="shared" si="19"/>
        <v>105</v>
      </c>
      <c r="I123" s="197">
        <f t="shared" si="22"/>
        <v>-1368400.9989570146</v>
      </c>
      <c r="J123" s="194">
        <f t="shared" si="14"/>
        <v>1207191.8298886311</v>
      </c>
      <c r="K123" s="186">
        <f t="shared" si="20"/>
        <v>161209.16906838352</v>
      </c>
      <c r="L123" s="186">
        <f t="shared" si="15"/>
        <v>109868966.35927059</v>
      </c>
      <c r="M123" s="194">
        <f t="shared" si="23"/>
        <v>-49733.639338809211</v>
      </c>
      <c r="N123" s="194" t="e">
        <f ca="1">+-VLOOKUP(D123,#REF!,3,0)*L122</f>
        <v>#REF!</v>
      </c>
      <c r="O123" s="194">
        <f t="shared" si="24"/>
        <v>-170190.67095</v>
      </c>
      <c r="P123" s="195">
        <f t="shared" si="25"/>
        <v>105</v>
      </c>
      <c r="Q123" s="198">
        <f t="shared" si="16"/>
        <v>-1588325.3092458239</v>
      </c>
      <c r="R123" s="136"/>
      <c r="W123" s="183"/>
      <c r="X123" s="196"/>
      <c r="Y123" s="188"/>
      <c r="Z123" s="136"/>
      <c r="AA123" s="188"/>
    </row>
    <row r="124" spans="3:27" s="130" customFormat="1" x14ac:dyDescent="0.3">
      <c r="C124" s="189">
        <f t="shared" ca="1" si="17"/>
        <v>48534</v>
      </c>
      <c r="D124" s="190">
        <f t="shared" ca="1" si="18"/>
        <v>35</v>
      </c>
      <c r="E124" s="189">
        <f t="shared" ca="1" si="21"/>
        <v>48732</v>
      </c>
      <c r="F124" s="183" t="s">
        <v>131</v>
      </c>
      <c r="G124" s="183"/>
      <c r="H124" s="186">
        <f t="shared" si="19"/>
        <v>106</v>
      </c>
      <c r="I124" s="197">
        <f t="shared" si="22"/>
        <v>-1368400.9989570146</v>
      </c>
      <c r="J124" s="194">
        <f t="shared" si="14"/>
        <v>1205423.1297037227</v>
      </c>
      <c r="K124" s="186">
        <f t="shared" si="20"/>
        <v>162977.86925329198</v>
      </c>
      <c r="L124" s="186">
        <f t="shared" si="15"/>
        <v>109705988.49001729</v>
      </c>
      <c r="M124" s="194">
        <f t="shared" si="23"/>
        <v>-49660.772794390301</v>
      </c>
      <c r="N124" s="194" t="e">
        <f ca="1">+-VLOOKUP(D124,#REF!,3,0)*L123</f>
        <v>#REF!</v>
      </c>
      <c r="O124" s="194">
        <f t="shared" si="24"/>
        <v>-170190.67095</v>
      </c>
      <c r="P124" s="195">
        <f t="shared" si="25"/>
        <v>106</v>
      </c>
      <c r="Q124" s="198">
        <f t="shared" si="16"/>
        <v>-1588252.4427014049</v>
      </c>
      <c r="R124" s="136"/>
      <c r="W124" s="183"/>
      <c r="X124" s="196"/>
      <c r="Y124" s="188"/>
      <c r="Z124" s="136"/>
      <c r="AA124" s="188"/>
    </row>
    <row r="125" spans="3:27" s="130" customFormat="1" x14ac:dyDescent="0.3">
      <c r="C125" s="189">
        <f t="shared" ca="1" si="17"/>
        <v>48534</v>
      </c>
      <c r="D125" s="190">
        <f t="shared" ca="1" si="18"/>
        <v>35</v>
      </c>
      <c r="E125" s="189">
        <f t="shared" ca="1" si="21"/>
        <v>48762</v>
      </c>
      <c r="F125" s="183" t="s">
        <v>132</v>
      </c>
      <c r="G125" s="183"/>
      <c r="H125" s="186">
        <f t="shared" si="19"/>
        <v>107</v>
      </c>
      <c r="I125" s="197">
        <f t="shared" si="22"/>
        <v>-1368400.9989570146</v>
      </c>
      <c r="J125" s="194">
        <f t="shared" si="14"/>
        <v>1203635.0242929067</v>
      </c>
      <c r="K125" s="186">
        <f t="shared" si="20"/>
        <v>164765.9746641079</v>
      </c>
      <c r="L125" s="186">
        <f t="shared" si="15"/>
        <v>109541222.51535319</v>
      </c>
      <c r="M125" s="194">
        <f t="shared" si="23"/>
        <v>-49587.106797487817</v>
      </c>
      <c r="N125" s="194" t="e">
        <f ca="1">+-VLOOKUP(D125,#REF!,3,0)*L124</f>
        <v>#REF!</v>
      </c>
      <c r="O125" s="194">
        <f t="shared" si="24"/>
        <v>-170190.67095</v>
      </c>
      <c r="P125" s="195">
        <f t="shared" si="25"/>
        <v>107</v>
      </c>
      <c r="Q125" s="198">
        <f t="shared" si="16"/>
        <v>-1588178.7767045023</v>
      </c>
      <c r="R125" s="136"/>
      <c r="W125" s="183"/>
      <c r="X125" s="196"/>
      <c r="Y125" s="188"/>
      <c r="Z125" s="136"/>
      <c r="AA125" s="188"/>
    </row>
    <row r="126" spans="3:27" s="130" customFormat="1" x14ac:dyDescent="0.3">
      <c r="C126" s="189">
        <f t="shared" ca="1" si="17"/>
        <v>48534</v>
      </c>
      <c r="D126" s="190">
        <f t="shared" ca="1" si="18"/>
        <v>35</v>
      </c>
      <c r="E126" s="189">
        <f t="shared" ca="1" si="21"/>
        <v>48793</v>
      </c>
      <c r="F126" s="183" t="s">
        <v>133</v>
      </c>
      <c r="G126" s="183"/>
      <c r="H126" s="186">
        <f t="shared" si="19"/>
        <v>108</v>
      </c>
      <c r="I126" s="197">
        <f t="shared" si="22"/>
        <v>-1368400.9989570146</v>
      </c>
      <c r="J126" s="194">
        <f t="shared" si="14"/>
        <v>1201827.3007524956</v>
      </c>
      <c r="K126" s="186">
        <f t="shared" si="20"/>
        <v>166573.69820451899</v>
      </c>
      <c r="L126" s="186">
        <f t="shared" si="15"/>
        <v>109374648.81714867</v>
      </c>
      <c r="M126" s="194">
        <f t="shared" si="23"/>
        <v>-49512.632576939643</v>
      </c>
      <c r="N126" s="194" t="e">
        <f ca="1">+-VLOOKUP(D126,#REF!,3,0)*L125</f>
        <v>#REF!</v>
      </c>
      <c r="O126" s="194">
        <f t="shared" si="24"/>
        <v>-170190.67095</v>
      </c>
      <c r="P126" s="195">
        <f t="shared" si="25"/>
        <v>108</v>
      </c>
      <c r="Q126" s="198">
        <f t="shared" si="16"/>
        <v>-1588104.3024839542</v>
      </c>
      <c r="R126" s="136"/>
      <c r="W126" s="183"/>
      <c r="X126" s="196"/>
      <c r="Y126" s="188"/>
      <c r="Z126" s="136"/>
      <c r="AA126" s="188"/>
    </row>
    <row r="127" spans="3:27" s="130" customFormat="1" x14ac:dyDescent="0.3">
      <c r="C127" s="189">
        <f t="shared" ca="1" si="17"/>
        <v>48534</v>
      </c>
      <c r="D127" s="190">
        <f t="shared" ca="1" si="18"/>
        <v>35</v>
      </c>
      <c r="E127" s="189">
        <f t="shared" ca="1" si="21"/>
        <v>48824</v>
      </c>
      <c r="F127" s="183" t="s">
        <v>134</v>
      </c>
      <c r="G127" s="183"/>
      <c r="H127" s="186">
        <f t="shared" si="19"/>
        <v>109</v>
      </c>
      <c r="I127" s="197">
        <f t="shared" si="22"/>
        <v>-1368400.9989570146</v>
      </c>
      <c r="J127" s="194">
        <f t="shared" si="14"/>
        <v>1199999.7438429364</v>
      </c>
      <c r="K127" s="186">
        <f t="shared" si="20"/>
        <v>168401.25511407829</v>
      </c>
      <c r="L127" s="186">
        <f t="shared" si="15"/>
        <v>109206247.56203459</v>
      </c>
      <c r="M127" s="194">
        <f t="shared" si="23"/>
        <v>-49437.341265351199</v>
      </c>
      <c r="N127" s="194" t="e">
        <f ca="1">+-VLOOKUP(D127,#REF!,3,0)*L126</f>
        <v>#REF!</v>
      </c>
      <c r="O127" s="194">
        <f t="shared" si="24"/>
        <v>-170190.67095</v>
      </c>
      <c r="P127" s="195">
        <f t="shared" si="25"/>
        <v>109</v>
      </c>
      <c r="Q127" s="198">
        <f t="shared" si="16"/>
        <v>-1588029.0111723659</v>
      </c>
      <c r="R127" s="136"/>
      <c r="W127" s="183"/>
      <c r="X127" s="196"/>
      <c r="Y127" s="188"/>
      <c r="Z127" s="136"/>
      <c r="AA127" s="188"/>
    </row>
    <row r="128" spans="3:27" s="130" customFormat="1" x14ac:dyDescent="0.3">
      <c r="C128" s="189">
        <f t="shared" ca="1" si="17"/>
        <v>48534</v>
      </c>
      <c r="D128" s="190">
        <f t="shared" ca="1" si="18"/>
        <v>35</v>
      </c>
      <c r="E128" s="189">
        <f t="shared" ca="1" si="21"/>
        <v>48854</v>
      </c>
      <c r="F128" s="183" t="s">
        <v>135</v>
      </c>
      <c r="G128" s="183"/>
      <c r="H128" s="186">
        <f t="shared" si="19"/>
        <v>110</v>
      </c>
      <c r="I128" s="197">
        <f t="shared" si="22"/>
        <v>-1368400.9989570146</v>
      </c>
      <c r="J128" s="194">
        <f t="shared" si="14"/>
        <v>1198152.1359631841</v>
      </c>
      <c r="K128" s="186">
        <f t="shared" si="20"/>
        <v>170248.86299383058</v>
      </c>
      <c r="L128" s="186">
        <f t="shared" si="15"/>
        <v>109035998.69904076</v>
      </c>
      <c r="M128" s="194">
        <f t="shared" si="23"/>
        <v>-49361.223898039636</v>
      </c>
      <c r="N128" s="194" t="e">
        <f ca="1">+-VLOOKUP(D128,#REF!,3,0)*L127</f>
        <v>#REF!</v>
      </c>
      <c r="O128" s="194">
        <f t="shared" si="24"/>
        <v>-170190.67095</v>
      </c>
      <c r="P128" s="195">
        <f t="shared" si="25"/>
        <v>110</v>
      </c>
      <c r="Q128" s="198">
        <f t="shared" si="16"/>
        <v>-1587952.8938050542</v>
      </c>
      <c r="R128" s="136"/>
      <c r="W128" s="183"/>
      <c r="X128" s="196"/>
      <c r="Y128" s="188"/>
      <c r="Z128" s="136"/>
      <c r="AA128" s="188"/>
    </row>
    <row r="129" spans="3:27" s="130" customFormat="1" x14ac:dyDescent="0.3">
      <c r="C129" s="189">
        <f t="shared" ca="1" si="17"/>
        <v>48534</v>
      </c>
      <c r="D129" s="190">
        <f t="shared" ca="1" si="18"/>
        <v>35</v>
      </c>
      <c r="E129" s="189">
        <f t="shared" ca="1" si="21"/>
        <v>48885</v>
      </c>
      <c r="F129" s="183" t="s">
        <v>136</v>
      </c>
      <c r="G129" s="183"/>
      <c r="H129" s="186">
        <f t="shared" si="19"/>
        <v>111</v>
      </c>
      <c r="I129" s="197">
        <f t="shared" si="22"/>
        <v>-1368400.9989570146</v>
      </c>
      <c r="J129" s="194">
        <f t="shared" si="14"/>
        <v>1196284.2571247916</v>
      </c>
      <c r="K129" s="186">
        <f t="shared" si="20"/>
        <v>172116.74183222302</v>
      </c>
      <c r="L129" s="186">
        <f t="shared" si="15"/>
        <v>108863881.95720853</v>
      </c>
      <c r="M129" s="194">
        <f t="shared" si="23"/>
        <v>-49284.271411966416</v>
      </c>
      <c r="N129" s="194" t="e">
        <f ca="1">+-VLOOKUP(D129,#REF!,3,0)*L128</f>
        <v>#REF!</v>
      </c>
      <c r="O129" s="194">
        <f t="shared" si="24"/>
        <v>-170190.67095</v>
      </c>
      <c r="P129" s="195">
        <f t="shared" si="25"/>
        <v>111</v>
      </c>
      <c r="Q129" s="198">
        <f t="shared" si="16"/>
        <v>-1587875.9413189811</v>
      </c>
      <c r="R129" s="136"/>
      <c r="W129" s="183"/>
      <c r="X129" s="196"/>
      <c r="Y129" s="188"/>
      <c r="Z129" s="136"/>
      <c r="AA129" s="188"/>
    </row>
    <row r="130" spans="3:27" s="130" customFormat="1" x14ac:dyDescent="0.3">
      <c r="C130" s="189">
        <f t="shared" ca="1" si="17"/>
        <v>48899</v>
      </c>
      <c r="D130" s="190">
        <f t="shared" ca="1" si="18"/>
        <v>36</v>
      </c>
      <c r="E130" s="189">
        <f t="shared" ca="1" si="21"/>
        <v>48915</v>
      </c>
      <c r="F130" s="183" t="s">
        <v>137</v>
      </c>
      <c r="G130" s="183"/>
      <c r="H130" s="186">
        <f t="shared" si="19"/>
        <v>112</v>
      </c>
      <c r="I130" s="197">
        <f t="shared" si="22"/>
        <v>-1368400.9989570146</v>
      </c>
      <c r="J130" s="194">
        <f t="shared" si="14"/>
        <v>1194395.884925718</v>
      </c>
      <c r="K130" s="186">
        <f t="shared" si="20"/>
        <v>174005.11403129669</v>
      </c>
      <c r="L130" s="186">
        <f t="shared" si="15"/>
        <v>108689876.84317723</v>
      </c>
      <c r="M130" s="194">
        <f t="shared" si="23"/>
        <v>-49206.47464465825</v>
      </c>
      <c r="N130" s="194" t="e">
        <f ca="1">+-VLOOKUP(D130,#REF!,3,0)*L129</f>
        <v>#REF!</v>
      </c>
      <c r="O130" s="194">
        <f t="shared" si="24"/>
        <v>-170190.67095</v>
      </c>
      <c r="P130" s="195">
        <f t="shared" si="25"/>
        <v>112</v>
      </c>
      <c r="Q130" s="198">
        <f t="shared" si="16"/>
        <v>-1587798.1445516727</v>
      </c>
      <c r="R130" s="136"/>
      <c r="W130" s="183"/>
      <c r="X130" s="196"/>
      <c r="Y130" s="188"/>
      <c r="Z130" s="136"/>
      <c r="AA130" s="188"/>
    </row>
    <row r="131" spans="3:27" s="130" customFormat="1" x14ac:dyDescent="0.3">
      <c r="C131" s="189">
        <f t="shared" ca="1" si="17"/>
        <v>48899</v>
      </c>
      <c r="D131" s="190">
        <f t="shared" ca="1" si="18"/>
        <v>36</v>
      </c>
      <c r="E131" s="189">
        <f t="shared" ca="1" si="21"/>
        <v>48946</v>
      </c>
      <c r="F131" s="183" t="s">
        <v>138</v>
      </c>
      <c r="G131" s="183"/>
      <c r="H131" s="186">
        <f t="shared" si="19"/>
        <v>113</v>
      </c>
      <c r="I131" s="197">
        <f t="shared" si="22"/>
        <v>-1368400.9989570146</v>
      </c>
      <c r="J131" s="194">
        <f t="shared" si="14"/>
        <v>1192486.7945238461</v>
      </c>
      <c r="K131" s="186">
        <f t="shared" si="20"/>
        <v>175914.20443316852</v>
      </c>
      <c r="L131" s="186">
        <f t="shared" si="15"/>
        <v>108513962.63874406</v>
      </c>
      <c r="M131" s="194">
        <f t="shared" si="23"/>
        <v>-49127.824333116107</v>
      </c>
      <c r="N131" s="194" t="e">
        <f ca="1">+-VLOOKUP(D131,#REF!,3,0)*L130</f>
        <v>#REF!</v>
      </c>
      <c r="O131" s="194">
        <f t="shared" si="24"/>
        <v>-170190.67095</v>
      </c>
      <c r="P131" s="195">
        <f t="shared" si="25"/>
        <v>113</v>
      </c>
      <c r="Q131" s="198">
        <f t="shared" si="16"/>
        <v>-1587719.4942401308</v>
      </c>
      <c r="R131" s="136"/>
      <c r="W131" s="183"/>
      <c r="X131" s="196"/>
      <c r="Y131" s="188"/>
      <c r="Z131" s="136"/>
      <c r="AA131" s="188"/>
    </row>
    <row r="132" spans="3:27" s="130" customFormat="1" x14ac:dyDescent="0.3">
      <c r="C132" s="189">
        <f t="shared" ca="1" si="17"/>
        <v>48899</v>
      </c>
      <c r="D132" s="190">
        <f t="shared" ca="1" si="18"/>
        <v>36</v>
      </c>
      <c r="E132" s="189">
        <f t="shared" ca="1" si="21"/>
        <v>48977</v>
      </c>
      <c r="F132" s="183" t="s">
        <v>139</v>
      </c>
      <c r="G132" s="183"/>
      <c r="H132" s="186">
        <f t="shared" si="19"/>
        <v>114</v>
      </c>
      <c r="I132" s="197">
        <f t="shared" si="22"/>
        <v>-1368400.9989570146</v>
      </c>
      <c r="J132" s="194">
        <f t="shared" si="14"/>
        <v>1190556.7586102127</v>
      </c>
      <c r="K132" s="186">
        <f t="shared" si="20"/>
        <v>177844.24034680193</v>
      </c>
      <c r="L132" s="186">
        <f t="shared" si="15"/>
        <v>108336118.39839725</v>
      </c>
      <c r="M132" s="194">
        <f t="shared" si="23"/>
        <v>-49048.311112712312</v>
      </c>
      <c r="N132" s="194" t="e">
        <f ca="1">+-VLOOKUP(D132,#REF!,3,0)*L131</f>
        <v>#REF!</v>
      </c>
      <c r="O132" s="194">
        <f t="shared" si="24"/>
        <v>-170190.67095</v>
      </c>
      <c r="P132" s="195">
        <f t="shared" si="25"/>
        <v>114</v>
      </c>
      <c r="Q132" s="198">
        <f t="shared" si="16"/>
        <v>-1587639.981019727</v>
      </c>
      <c r="R132" s="136"/>
      <c r="W132" s="183"/>
      <c r="X132" s="196"/>
      <c r="Y132" s="188"/>
      <c r="Z132" s="136"/>
      <c r="AA132" s="188"/>
    </row>
    <row r="133" spans="3:27" s="130" customFormat="1" x14ac:dyDescent="0.3">
      <c r="C133" s="189">
        <f t="shared" ca="1" si="17"/>
        <v>48899</v>
      </c>
      <c r="D133" s="190">
        <f t="shared" ca="1" si="18"/>
        <v>36</v>
      </c>
      <c r="E133" s="189">
        <f t="shared" ca="1" si="21"/>
        <v>49005</v>
      </c>
      <c r="F133" s="183" t="s">
        <v>140</v>
      </c>
      <c r="G133" s="183"/>
      <c r="H133" s="186">
        <f t="shared" si="19"/>
        <v>115</v>
      </c>
      <c r="I133" s="197">
        <f t="shared" si="22"/>
        <v>-1368400.9989570146</v>
      </c>
      <c r="J133" s="194">
        <f t="shared" si="14"/>
        <v>1188605.5473819426</v>
      </c>
      <c r="K133" s="186">
        <f t="shared" si="20"/>
        <v>179795.45157507202</v>
      </c>
      <c r="L133" s="186">
        <f t="shared" si="15"/>
        <v>108156322.94682218</v>
      </c>
      <c r="M133" s="194">
        <f t="shared" si="23"/>
        <v>-48967.925516075557</v>
      </c>
      <c r="N133" s="194" t="e">
        <f ca="1">+-VLOOKUP(D133,#REF!,3,0)*L132</f>
        <v>#REF!</v>
      </c>
      <c r="O133" s="194">
        <f t="shared" si="24"/>
        <v>-170190.67095</v>
      </c>
      <c r="P133" s="195">
        <f t="shared" si="25"/>
        <v>115</v>
      </c>
      <c r="Q133" s="198">
        <f t="shared" si="16"/>
        <v>-1587559.59542309</v>
      </c>
      <c r="R133" s="136"/>
      <c r="W133" s="183"/>
      <c r="X133" s="196"/>
      <c r="Y133" s="188"/>
      <c r="Z133" s="136"/>
      <c r="AA133" s="188"/>
    </row>
    <row r="134" spans="3:27" s="130" customFormat="1" x14ac:dyDescent="0.3">
      <c r="C134" s="189">
        <f t="shared" ca="1" si="17"/>
        <v>48899</v>
      </c>
      <c r="D134" s="190">
        <f t="shared" ca="1" si="18"/>
        <v>36</v>
      </c>
      <c r="E134" s="189">
        <f t="shared" ca="1" si="21"/>
        <v>49036</v>
      </c>
      <c r="F134" s="183" t="s">
        <v>141</v>
      </c>
      <c r="G134" s="183"/>
      <c r="H134" s="186">
        <f t="shared" si="19"/>
        <v>116</v>
      </c>
      <c r="I134" s="197">
        <f t="shared" si="22"/>
        <v>-1368400.9989570146</v>
      </c>
      <c r="J134" s="194">
        <f t="shared" si="14"/>
        <v>1186632.9285148878</v>
      </c>
      <c r="K134" s="186">
        <f t="shared" si="20"/>
        <v>181768.07044212683</v>
      </c>
      <c r="L134" s="186">
        <f t="shared" si="15"/>
        <v>107974554.87638006</v>
      </c>
      <c r="M134" s="194">
        <f t="shared" si="23"/>
        <v>-48886.657971963621</v>
      </c>
      <c r="N134" s="194" t="e">
        <f ca="1">+-VLOOKUP(D134,#REF!,3,0)*L133</f>
        <v>#REF!</v>
      </c>
      <c r="O134" s="194">
        <f t="shared" si="24"/>
        <v>-170190.67095</v>
      </c>
      <c r="P134" s="195">
        <f t="shared" si="25"/>
        <v>116</v>
      </c>
      <c r="Q134" s="198">
        <f t="shared" si="16"/>
        <v>-1587478.3278789781</v>
      </c>
      <c r="R134" s="136"/>
      <c r="W134" s="183"/>
      <c r="X134" s="196"/>
      <c r="Y134" s="188"/>
      <c r="Z134" s="136"/>
      <c r="AA134" s="188"/>
    </row>
    <row r="135" spans="3:27" s="130" customFormat="1" x14ac:dyDescent="0.3">
      <c r="C135" s="189">
        <f t="shared" ca="1" si="17"/>
        <v>48899</v>
      </c>
      <c r="D135" s="190">
        <f t="shared" ca="1" si="18"/>
        <v>36</v>
      </c>
      <c r="E135" s="189">
        <f t="shared" ca="1" si="21"/>
        <v>49066</v>
      </c>
      <c r="F135" s="183" t="s">
        <v>142</v>
      </c>
      <c r="G135" s="183"/>
      <c r="H135" s="186">
        <f t="shared" si="19"/>
        <v>117</v>
      </c>
      <c r="I135" s="197">
        <f t="shared" si="22"/>
        <v>-1368400.9989570146</v>
      </c>
      <c r="J135" s="194">
        <f t="shared" si="14"/>
        <v>1184638.6671359641</v>
      </c>
      <c r="K135" s="186">
        <f t="shared" si="20"/>
        <v>183762.33182105049</v>
      </c>
      <c r="L135" s="186">
        <f t="shared" si="15"/>
        <v>107790792.544559</v>
      </c>
      <c r="M135" s="194">
        <f t="shared" si="23"/>
        <v>-48804.498804123781</v>
      </c>
      <c r="N135" s="194" t="e">
        <f ca="1">+-VLOOKUP(D135,#REF!,3,0)*L134</f>
        <v>#REF!</v>
      </c>
      <c r="O135" s="194">
        <f t="shared" si="24"/>
        <v>-170190.67095</v>
      </c>
      <c r="P135" s="195">
        <f t="shared" si="25"/>
        <v>117</v>
      </c>
      <c r="Q135" s="198">
        <f t="shared" si="16"/>
        <v>-1587396.1687111384</v>
      </c>
      <c r="R135" s="136"/>
      <c r="W135" s="183"/>
      <c r="X135" s="196"/>
      <c r="Y135" s="188"/>
      <c r="Z135" s="136"/>
      <c r="AA135" s="188"/>
    </row>
    <row r="136" spans="3:27" s="130" customFormat="1" x14ac:dyDescent="0.3">
      <c r="C136" s="189">
        <f t="shared" ca="1" si="17"/>
        <v>48899</v>
      </c>
      <c r="D136" s="190">
        <f t="shared" ca="1" si="18"/>
        <v>36</v>
      </c>
      <c r="E136" s="189">
        <f t="shared" ca="1" si="21"/>
        <v>49097</v>
      </c>
      <c r="F136" s="183" t="s">
        <v>143</v>
      </c>
      <c r="G136" s="183"/>
      <c r="H136" s="186">
        <f t="shared" si="19"/>
        <v>118</v>
      </c>
      <c r="I136" s="197">
        <f t="shared" si="22"/>
        <v>-1368400.9989570146</v>
      </c>
      <c r="J136" s="194">
        <f t="shared" si="14"/>
        <v>1182622.5257951869</v>
      </c>
      <c r="K136" s="186">
        <f t="shared" si="20"/>
        <v>185778.47316182777</v>
      </c>
      <c r="L136" s="186">
        <f t="shared" si="15"/>
        <v>107605014.07139717</v>
      </c>
      <c r="M136" s="194">
        <f t="shared" si="23"/>
        <v>-48721.438230140666</v>
      </c>
      <c r="N136" s="194" t="e">
        <f ca="1">+-VLOOKUP(D136,#REF!,3,0)*L135</f>
        <v>#REF!</v>
      </c>
      <c r="O136" s="194">
        <f t="shared" si="24"/>
        <v>-170190.67095</v>
      </c>
      <c r="P136" s="195">
        <f t="shared" si="25"/>
        <v>118</v>
      </c>
      <c r="Q136" s="198">
        <f t="shared" si="16"/>
        <v>-1587313.1081371552</v>
      </c>
      <c r="R136" s="136"/>
      <c r="W136" s="183"/>
      <c r="X136" s="196"/>
      <c r="Y136" s="188"/>
      <c r="Z136" s="136"/>
      <c r="AA136" s="188"/>
    </row>
    <row r="137" spans="3:27" s="130" customFormat="1" x14ac:dyDescent="0.3">
      <c r="C137" s="189">
        <f t="shared" ca="1" si="17"/>
        <v>48899</v>
      </c>
      <c r="D137" s="190">
        <f t="shared" ca="1" si="18"/>
        <v>36</v>
      </c>
      <c r="E137" s="189">
        <f t="shared" ca="1" si="21"/>
        <v>49127</v>
      </c>
      <c r="F137" s="183" t="s">
        <v>144</v>
      </c>
      <c r="G137" s="183"/>
      <c r="H137" s="186">
        <f t="shared" si="19"/>
        <v>119</v>
      </c>
      <c r="I137" s="197">
        <f t="shared" si="22"/>
        <v>-1368400.9989570146</v>
      </c>
      <c r="J137" s="194">
        <f t="shared" si="14"/>
        <v>1180584.2644373979</v>
      </c>
      <c r="K137" s="186">
        <f t="shared" si="20"/>
        <v>187816.7345196167</v>
      </c>
      <c r="L137" s="186">
        <f t="shared" si="15"/>
        <v>107417197.33687755</v>
      </c>
      <c r="M137" s="194">
        <f t="shared" si="23"/>
        <v>-48637.466360271523</v>
      </c>
      <c r="N137" s="194" t="e">
        <f ca="1">+-VLOOKUP(D137,#REF!,3,0)*L136</f>
        <v>#REF!</v>
      </c>
      <c r="O137" s="194">
        <f t="shared" si="24"/>
        <v>-170190.67095</v>
      </c>
      <c r="P137" s="195">
        <f t="shared" si="25"/>
        <v>119</v>
      </c>
      <c r="Q137" s="198">
        <f t="shared" si="16"/>
        <v>-1587229.136267286</v>
      </c>
      <c r="R137" s="136"/>
      <c r="W137" s="183"/>
      <c r="X137" s="196"/>
      <c r="Y137" s="188"/>
      <c r="Z137" s="136"/>
      <c r="AA137" s="188"/>
    </row>
    <row r="138" spans="3:27" s="130" customFormat="1" x14ac:dyDescent="0.3">
      <c r="C138" s="189">
        <f t="shared" ca="1" si="17"/>
        <v>48899</v>
      </c>
      <c r="D138" s="190">
        <f t="shared" ca="1" si="18"/>
        <v>36</v>
      </c>
      <c r="E138" s="189">
        <f t="shared" ca="1" si="21"/>
        <v>49158</v>
      </c>
      <c r="F138" s="183" t="s">
        <v>145</v>
      </c>
      <c r="G138" s="183"/>
      <c r="H138" s="186">
        <f t="shared" si="19"/>
        <v>120</v>
      </c>
      <c r="I138" s="197">
        <f t="shared" si="22"/>
        <v>-1368400.9989570146</v>
      </c>
      <c r="J138" s="194">
        <f t="shared" si="14"/>
        <v>1178523.6403736833</v>
      </c>
      <c r="K138" s="186">
        <f t="shared" si="20"/>
        <v>189877.35858333134</v>
      </c>
      <c r="L138" s="186">
        <f t="shared" si="15"/>
        <v>107227319.97829422</v>
      </c>
      <c r="M138" s="194">
        <f t="shared" si="23"/>
        <v>-48552.573196268655</v>
      </c>
      <c r="N138" s="194" t="e">
        <f ca="1">+-VLOOKUP(D138,#REF!,3,0)*L137</f>
        <v>#REF!</v>
      </c>
      <c r="O138" s="194">
        <f t="shared" si="24"/>
        <v>-170190.67095</v>
      </c>
      <c r="P138" s="195">
        <f t="shared" si="25"/>
        <v>120</v>
      </c>
      <c r="Q138" s="198">
        <f t="shared" si="16"/>
        <v>-1587144.2431032832</v>
      </c>
      <c r="R138" s="136"/>
      <c r="W138" s="183"/>
      <c r="X138" s="196"/>
      <c r="Y138" s="188"/>
      <c r="Z138" s="136"/>
      <c r="AA138" s="188"/>
    </row>
    <row r="139" spans="3:27" s="130" customFormat="1" x14ac:dyDescent="0.3">
      <c r="C139" s="189">
        <f t="shared" ca="1" si="17"/>
        <v>48899</v>
      </c>
      <c r="D139" s="190">
        <f t="shared" ca="1" si="18"/>
        <v>36</v>
      </c>
      <c r="E139" s="189">
        <f t="shared" ca="1" si="21"/>
        <v>49189</v>
      </c>
      <c r="F139" s="183" t="s">
        <v>146</v>
      </c>
      <c r="G139" s="183"/>
      <c r="H139" s="186">
        <f t="shared" si="19"/>
        <v>121</v>
      </c>
      <c r="I139" s="197">
        <f t="shared" si="22"/>
        <v>-1368400.9989570146</v>
      </c>
      <c r="J139" s="194">
        <f t="shared" si="14"/>
        <v>1176440.4082524767</v>
      </c>
      <c r="K139" s="186">
        <f t="shared" si="20"/>
        <v>191960.59070453793</v>
      </c>
      <c r="L139" s="186">
        <f t="shared" si="15"/>
        <v>107035359.38758969</v>
      </c>
      <c r="M139" s="194">
        <f t="shared" si="23"/>
        <v>-48466.748630188988</v>
      </c>
      <c r="N139" s="194" t="e">
        <f ca="1">+-VLOOKUP(D139,#REF!,3,0)*L138</f>
        <v>#REF!</v>
      </c>
      <c r="O139" s="194">
        <f t="shared" si="24"/>
        <v>-170190.67095</v>
      </c>
      <c r="P139" s="195">
        <f t="shared" si="25"/>
        <v>121</v>
      </c>
      <c r="Q139" s="198">
        <f t="shared" si="16"/>
        <v>-1587058.4185372035</v>
      </c>
      <c r="R139" s="136"/>
      <c r="W139" s="183"/>
      <c r="X139" s="196"/>
      <c r="Y139" s="188"/>
      <c r="Z139" s="136"/>
      <c r="AA139" s="188"/>
    </row>
    <row r="140" spans="3:27" s="130" customFormat="1" x14ac:dyDescent="0.3">
      <c r="C140" s="189">
        <f t="shared" ca="1" si="17"/>
        <v>48899</v>
      </c>
      <c r="D140" s="190">
        <f t="shared" ca="1" si="18"/>
        <v>36</v>
      </c>
      <c r="E140" s="189">
        <f t="shared" ca="1" si="21"/>
        <v>49219</v>
      </c>
      <c r="F140" s="183" t="s">
        <v>147</v>
      </c>
      <c r="G140" s="183"/>
      <c r="H140" s="186">
        <f t="shared" si="19"/>
        <v>122</v>
      </c>
      <c r="I140" s="197">
        <f t="shared" si="22"/>
        <v>-1368400.9989570146</v>
      </c>
      <c r="J140" s="194">
        <f t="shared" si="14"/>
        <v>1174334.320030347</v>
      </c>
      <c r="K140" s="186">
        <f t="shared" si="20"/>
        <v>194066.67892666766</v>
      </c>
      <c r="L140" s="186">
        <f t="shared" si="15"/>
        <v>106841292.70866303</v>
      </c>
      <c r="M140" s="194">
        <f t="shared" si="23"/>
        <v>-48379.982443190536</v>
      </c>
      <c r="N140" s="194" t="e">
        <f ca="1">+-VLOOKUP(D140,#REF!,3,0)*L139</f>
        <v>#REF!</v>
      </c>
      <c r="O140" s="194">
        <f t="shared" si="24"/>
        <v>-170190.67095</v>
      </c>
      <c r="P140" s="195">
        <f t="shared" si="25"/>
        <v>122</v>
      </c>
      <c r="Q140" s="198">
        <f t="shared" si="16"/>
        <v>-1586971.6523502052</v>
      </c>
      <c r="R140" s="136"/>
      <c r="W140" s="183"/>
      <c r="X140" s="196"/>
      <c r="Y140" s="188"/>
      <c r="Z140" s="136"/>
      <c r="AA140" s="188"/>
    </row>
    <row r="141" spans="3:27" s="130" customFormat="1" x14ac:dyDescent="0.3">
      <c r="C141" s="189">
        <f t="shared" ca="1" si="17"/>
        <v>48899</v>
      </c>
      <c r="D141" s="190">
        <f t="shared" ca="1" si="18"/>
        <v>36</v>
      </c>
      <c r="E141" s="189">
        <f t="shared" ca="1" si="21"/>
        <v>49250</v>
      </c>
      <c r="F141" s="183" t="s">
        <v>148</v>
      </c>
      <c r="G141" s="183"/>
      <c r="H141" s="186">
        <f t="shared" si="19"/>
        <v>123</v>
      </c>
      <c r="I141" s="197">
        <f t="shared" si="22"/>
        <v>-1368400.9989570146</v>
      </c>
      <c r="J141" s="194">
        <f t="shared" si="14"/>
        <v>1172205.1249424636</v>
      </c>
      <c r="K141" s="186">
        <f t="shared" si="20"/>
        <v>196195.87401455105</v>
      </c>
      <c r="L141" s="186">
        <f t="shared" si="15"/>
        <v>106645096.83464848</v>
      </c>
      <c r="M141" s="194">
        <f t="shared" si="23"/>
        <v>-48292.264304315686</v>
      </c>
      <c r="N141" s="194" t="e">
        <f ca="1">+-VLOOKUP(D141,#REF!,3,0)*L140</f>
        <v>#REF!</v>
      </c>
      <c r="O141" s="194">
        <f t="shared" si="24"/>
        <v>-170190.67095</v>
      </c>
      <c r="P141" s="195">
        <f t="shared" si="25"/>
        <v>123</v>
      </c>
      <c r="Q141" s="198">
        <f t="shared" si="16"/>
        <v>-1586883.9342113303</v>
      </c>
      <c r="R141" s="136"/>
      <c r="W141" s="183"/>
      <c r="X141" s="196"/>
      <c r="Y141" s="188"/>
      <c r="Z141" s="136"/>
      <c r="AA141" s="188"/>
    </row>
    <row r="142" spans="3:27" s="130" customFormat="1" x14ac:dyDescent="0.3">
      <c r="C142" s="189">
        <f t="shared" ca="1" si="17"/>
        <v>49264</v>
      </c>
      <c r="D142" s="190">
        <f t="shared" ca="1" si="18"/>
        <v>37</v>
      </c>
      <c r="E142" s="189">
        <f t="shared" ca="1" si="21"/>
        <v>49280</v>
      </c>
      <c r="F142" s="183" t="s">
        <v>149</v>
      </c>
      <c r="G142" s="183"/>
      <c r="H142" s="186">
        <f t="shared" si="19"/>
        <v>124</v>
      </c>
      <c r="I142" s="197">
        <f t="shared" si="22"/>
        <v>-1368400.9989570146</v>
      </c>
      <c r="J142" s="194">
        <f t="shared" si="14"/>
        <v>1170052.5694727395</v>
      </c>
      <c r="K142" s="186">
        <f t="shared" si="20"/>
        <v>198348.42948427517</v>
      </c>
      <c r="L142" s="186">
        <f t="shared" si="15"/>
        <v>106446748.4051642</v>
      </c>
      <c r="M142" s="194">
        <f t="shared" si="23"/>
        <v>-48203.583769261109</v>
      </c>
      <c r="N142" s="194" t="e">
        <f ca="1">+-VLOOKUP(D142,#REF!,3,0)*L141</f>
        <v>#REF!</v>
      </c>
      <c r="O142" s="194">
        <f t="shared" si="24"/>
        <v>-170190.67095</v>
      </c>
      <c r="P142" s="195">
        <f t="shared" si="25"/>
        <v>124</v>
      </c>
      <c r="Q142" s="198">
        <f t="shared" si="16"/>
        <v>-1586795.2536762757</v>
      </c>
      <c r="R142" s="136"/>
      <c r="W142" s="183"/>
      <c r="X142" s="196"/>
      <c r="Y142" s="188"/>
      <c r="Z142" s="136"/>
      <c r="AA142" s="188"/>
    </row>
    <row r="143" spans="3:27" s="130" customFormat="1" x14ac:dyDescent="0.3">
      <c r="C143" s="189">
        <f t="shared" ca="1" si="17"/>
        <v>49264</v>
      </c>
      <c r="D143" s="190">
        <f t="shared" ca="1" si="18"/>
        <v>37</v>
      </c>
      <c r="E143" s="189">
        <f t="shared" ca="1" si="21"/>
        <v>49311</v>
      </c>
      <c r="F143" s="183" t="s">
        <v>150</v>
      </c>
      <c r="G143" s="183"/>
      <c r="H143" s="186">
        <f t="shared" si="19"/>
        <v>125</v>
      </c>
      <c r="I143" s="197">
        <f t="shared" si="22"/>
        <v>-1368400.9989570146</v>
      </c>
      <c r="J143" s="194">
        <f t="shared" si="14"/>
        <v>1167876.3973236457</v>
      </c>
      <c r="K143" s="186">
        <f t="shared" si="20"/>
        <v>200524.60163336899</v>
      </c>
      <c r="L143" s="186">
        <f t="shared" si="15"/>
        <v>106246223.80353083</v>
      </c>
      <c r="M143" s="194">
        <f t="shared" si="23"/>
        <v>-48113.930279134212</v>
      </c>
      <c r="N143" s="194" t="e">
        <f ca="1">+-VLOOKUP(D143,#REF!,3,0)*L142</f>
        <v>#REF!</v>
      </c>
      <c r="O143" s="194">
        <f t="shared" si="24"/>
        <v>-170190.67095</v>
      </c>
      <c r="P143" s="195">
        <f t="shared" si="25"/>
        <v>125</v>
      </c>
      <c r="Q143" s="198">
        <f t="shared" si="16"/>
        <v>-1586705.6001861489</v>
      </c>
      <c r="R143" s="136"/>
      <c r="W143" s="183"/>
      <c r="X143" s="196"/>
      <c r="Y143" s="188"/>
      <c r="Z143" s="136"/>
      <c r="AA143" s="188"/>
    </row>
    <row r="144" spans="3:27" s="130" customFormat="1" x14ac:dyDescent="0.3">
      <c r="C144" s="189">
        <f t="shared" ca="1" si="17"/>
        <v>49264</v>
      </c>
      <c r="D144" s="190">
        <f t="shared" ca="1" si="18"/>
        <v>37</v>
      </c>
      <c r="E144" s="189">
        <f t="shared" ca="1" si="21"/>
        <v>49342</v>
      </c>
      <c r="F144" s="183" t="s">
        <v>151</v>
      </c>
      <c r="G144" s="183"/>
      <c r="H144" s="186">
        <f t="shared" si="19"/>
        <v>126</v>
      </c>
      <c r="I144" s="197">
        <f t="shared" si="22"/>
        <v>-1368400.9989570146</v>
      </c>
      <c r="J144" s="194">
        <f t="shared" si="14"/>
        <v>1165676.3493856951</v>
      </c>
      <c r="K144" s="186">
        <f t="shared" si="20"/>
        <v>202724.64957131958</v>
      </c>
      <c r="L144" s="186">
        <f t="shared" si="15"/>
        <v>106043499.15395951</v>
      </c>
      <c r="M144" s="194">
        <f t="shared" si="23"/>
        <v>-48023.293159195935</v>
      </c>
      <c r="N144" s="194" t="e">
        <f ca="1">+-VLOOKUP(D144,#REF!,3,0)*L143</f>
        <v>#REF!</v>
      </c>
      <c r="O144" s="194">
        <f t="shared" si="24"/>
        <v>-170190.67095</v>
      </c>
      <c r="P144" s="195">
        <f t="shared" si="25"/>
        <v>126</v>
      </c>
      <c r="Q144" s="198">
        <f t="shared" si="16"/>
        <v>-1586614.9630662105</v>
      </c>
      <c r="R144" s="136"/>
      <c r="W144" s="183"/>
      <c r="X144" s="196"/>
      <c r="Y144" s="188"/>
      <c r="Z144" s="136"/>
      <c r="AA144" s="188"/>
    </row>
    <row r="145" spans="3:27" s="130" customFormat="1" x14ac:dyDescent="0.3">
      <c r="C145" s="189">
        <f t="shared" ca="1" si="17"/>
        <v>49264</v>
      </c>
      <c r="D145" s="190">
        <f t="shared" ca="1" si="18"/>
        <v>37</v>
      </c>
      <c r="E145" s="189">
        <f t="shared" ca="1" si="21"/>
        <v>49370</v>
      </c>
      <c r="F145" s="183" t="s">
        <v>152</v>
      </c>
      <c r="G145" s="183"/>
      <c r="H145" s="186">
        <f t="shared" si="19"/>
        <v>127</v>
      </c>
      <c r="I145" s="197">
        <f t="shared" si="22"/>
        <v>-1368400.9989570146</v>
      </c>
      <c r="J145" s="194">
        <f t="shared" si="14"/>
        <v>1163452.1637065902</v>
      </c>
      <c r="K145" s="186">
        <f t="shared" si="20"/>
        <v>204948.83525042445</v>
      </c>
      <c r="L145" s="186">
        <f t="shared" si="15"/>
        <v>105838550.31870909</v>
      </c>
      <c r="M145" s="194">
        <f t="shared" si="23"/>
        <v>-47931.6616175897</v>
      </c>
      <c r="N145" s="194" t="e">
        <f ca="1">+-VLOOKUP(D145,#REF!,3,0)*L144</f>
        <v>#REF!</v>
      </c>
      <c r="O145" s="194">
        <f t="shared" si="24"/>
        <v>-170190.67095</v>
      </c>
      <c r="P145" s="195">
        <f t="shared" si="25"/>
        <v>127</v>
      </c>
      <c r="Q145" s="198">
        <f t="shared" si="16"/>
        <v>-1586523.3315246042</v>
      </c>
      <c r="R145" s="136"/>
      <c r="W145" s="183"/>
      <c r="X145" s="196"/>
      <c r="Y145" s="188"/>
      <c r="Z145" s="136"/>
      <c r="AA145" s="188"/>
    </row>
    <row r="146" spans="3:27" s="130" customFormat="1" x14ac:dyDescent="0.3">
      <c r="C146" s="189">
        <f t="shared" ca="1" si="17"/>
        <v>49264</v>
      </c>
      <c r="D146" s="190">
        <f t="shared" ca="1" si="18"/>
        <v>37</v>
      </c>
      <c r="E146" s="189">
        <f t="shared" ca="1" si="21"/>
        <v>49401</v>
      </c>
      <c r="F146" s="183" t="s">
        <v>153</v>
      </c>
      <c r="G146" s="183"/>
      <c r="H146" s="186">
        <f t="shared" si="19"/>
        <v>128</v>
      </c>
      <c r="I146" s="197">
        <f t="shared" si="22"/>
        <v>-1368400.9989570146</v>
      </c>
      <c r="J146" s="194">
        <f t="shared" si="14"/>
        <v>1161203.5754600344</v>
      </c>
      <c r="K146" s="186">
        <f t="shared" si="20"/>
        <v>207197.42349698022</v>
      </c>
      <c r="L146" s="186">
        <f t="shared" si="15"/>
        <v>105631352.89521211</v>
      </c>
      <c r="M146" s="194">
        <f t="shared" si="23"/>
        <v>-47839.024744056507</v>
      </c>
      <c r="N146" s="194" t="e">
        <f ca="1">+-VLOOKUP(D146,#REF!,3,0)*L145</f>
        <v>#REF!</v>
      </c>
      <c r="O146" s="194">
        <f t="shared" si="24"/>
        <v>-170190.67095</v>
      </c>
      <c r="P146" s="195">
        <f t="shared" si="25"/>
        <v>128</v>
      </c>
      <c r="Q146" s="198">
        <f t="shared" si="16"/>
        <v>-1586430.694651071</v>
      </c>
      <c r="R146" s="136"/>
      <c r="W146" s="183"/>
      <c r="X146" s="196"/>
      <c r="Y146" s="188"/>
      <c r="Z146" s="136"/>
      <c r="AA146" s="188"/>
    </row>
    <row r="147" spans="3:27" s="130" customFormat="1" x14ac:dyDescent="0.3">
      <c r="C147" s="189">
        <f t="shared" ca="1" si="17"/>
        <v>49264</v>
      </c>
      <c r="D147" s="190">
        <f t="shared" ca="1" si="18"/>
        <v>37</v>
      </c>
      <c r="E147" s="189">
        <f t="shared" ca="1" si="21"/>
        <v>49431</v>
      </c>
      <c r="F147" s="183" t="s">
        <v>154</v>
      </c>
      <c r="G147" s="183"/>
      <c r="H147" s="186">
        <f t="shared" si="19"/>
        <v>129</v>
      </c>
      <c r="I147" s="197">
        <f t="shared" si="22"/>
        <v>-1368400.9989570146</v>
      </c>
      <c r="J147" s="194">
        <f t="shared" ref="J147:J210" si="26">+IF(L146&gt;0,L146*$J$9,0)</f>
        <v>1158930.3169141994</v>
      </c>
      <c r="K147" s="186">
        <f t="shared" si="20"/>
        <v>209470.68204281526</v>
      </c>
      <c r="L147" s="186">
        <f t="shared" ref="L147:L210" si="27">+L146-K147</f>
        <v>105421882.21316929</v>
      </c>
      <c r="M147" s="194">
        <f t="shared" si="23"/>
        <v>-47745.371508635872</v>
      </c>
      <c r="N147" s="194" t="e">
        <f ca="1">+-VLOOKUP(D147,#REF!,3,0)*L146</f>
        <v>#REF!</v>
      </c>
      <c r="O147" s="194">
        <f t="shared" si="24"/>
        <v>-170190.67095</v>
      </c>
      <c r="P147" s="195">
        <f t="shared" si="25"/>
        <v>129</v>
      </c>
      <c r="Q147" s="198">
        <f t="shared" ref="Q147:Q210" si="28">+I147+M147+O147</f>
        <v>-1586337.0414156504</v>
      </c>
      <c r="R147" s="136"/>
      <c r="W147" s="183"/>
      <c r="X147" s="196"/>
      <c r="Y147" s="188"/>
      <c r="Z147" s="136"/>
      <c r="AA147" s="188"/>
    </row>
    <row r="148" spans="3:27" s="130" customFormat="1" x14ac:dyDescent="0.3">
      <c r="C148" s="189">
        <f t="shared" ref="C148:C198" ca="1" si="29">+VLOOKUP(E148,$A$18:$B$42,1,1)</f>
        <v>49264</v>
      </c>
      <c r="D148" s="190">
        <f t="shared" ref="D148:D198" ca="1" si="30">+VLOOKUP(C148,$A$18:$B$42,2,0)</f>
        <v>37</v>
      </c>
      <c r="E148" s="189">
        <f t="shared" ca="1" si="21"/>
        <v>49462</v>
      </c>
      <c r="F148" s="183" t="s">
        <v>155</v>
      </c>
      <c r="G148" s="183"/>
      <c r="H148" s="186">
        <f t="shared" ref="H148:H211" si="31">P148</f>
        <v>130</v>
      </c>
      <c r="I148" s="197">
        <f t="shared" si="22"/>
        <v>-1368400.9989570146</v>
      </c>
      <c r="J148" s="194">
        <f t="shared" si="26"/>
        <v>1156632.1173998474</v>
      </c>
      <c r="K148" s="186">
        <f t="shared" ref="K148:K211" si="32">+IF(L147&gt;0,-I148-J148,0)</f>
        <v>211768.88155716727</v>
      </c>
      <c r="L148" s="186">
        <f t="shared" si="27"/>
        <v>105210113.33161213</v>
      </c>
      <c r="M148" s="194">
        <f t="shared" si="23"/>
        <v>-47650.690760352518</v>
      </c>
      <c r="N148" s="194" t="e">
        <f ca="1">+-VLOOKUP(D148,#REF!,3,0)*L147</f>
        <v>#REF!</v>
      </c>
      <c r="O148" s="194">
        <f t="shared" si="24"/>
        <v>-170190.67095</v>
      </c>
      <c r="P148" s="195">
        <f t="shared" si="25"/>
        <v>130</v>
      </c>
      <c r="Q148" s="198">
        <f t="shared" si="28"/>
        <v>-1586242.360667367</v>
      </c>
      <c r="R148" s="136"/>
      <c r="W148" s="183"/>
      <c r="X148" s="196"/>
      <c r="Y148" s="188"/>
      <c r="Z148" s="136"/>
      <c r="AA148" s="188"/>
    </row>
    <row r="149" spans="3:27" s="130" customFormat="1" x14ac:dyDescent="0.3">
      <c r="C149" s="189">
        <f t="shared" ca="1" si="29"/>
        <v>49264</v>
      </c>
      <c r="D149" s="190">
        <f t="shared" ca="1" si="30"/>
        <v>37</v>
      </c>
      <c r="E149" s="189">
        <f t="shared" ref="E149:E212" ca="1" si="33">+EDATE(E148,1)</f>
        <v>49492</v>
      </c>
      <c r="F149" s="183" t="s">
        <v>156</v>
      </c>
      <c r="G149" s="183"/>
      <c r="H149" s="186">
        <f t="shared" si="31"/>
        <v>131</v>
      </c>
      <c r="I149" s="197">
        <f t="shared" ref="I149:I212" si="34">+IF(L148&gt;0.1,I148,0)</f>
        <v>-1368400.9989570146</v>
      </c>
      <c r="J149" s="194">
        <f t="shared" si="26"/>
        <v>1154308.7032781038</v>
      </c>
      <c r="K149" s="186">
        <f t="shared" si="32"/>
        <v>214092.2956789108</v>
      </c>
      <c r="L149" s="186">
        <f t="shared" si="27"/>
        <v>104996021.03593321</v>
      </c>
      <c r="M149" s="194">
        <f t="shared" ref="M149:M212" si="35">IF(H148&lt;=$J$7,(-L148*$J$10),0)</f>
        <v>-47554.971225888679</v>
      </c>
      <c r="N149" s="194" t="e">
        <f ca="1">+-VLOOKUP(D149,#REF!,3,0)*L148</f>
        <v>#REF!</v>
      </c>
      <c r="O149" s="194">
        <f t="shared" ref="O149:O212" si="36">IF(H148&lt;=$J$7,(-$J$5*$J$11),0)</f>
        <v>-170190.67095</v>
      </c>
      <c r="P149" s="195">
        <f t="shared" ref="P149:P212" si="37">+P148+1</f>
        <v>131</v>
      </c>
      <c r="Q149" s="198">
        <f t="shared" si="28"/>
        <v>-1586146.6411329033</v>
      </c>
      <c r="R149" s="136"/>
      <c r="W149" s="183"/>
      <c r="X149" s="196"/>
      <c r="Y149" s="188"/>
      <c r="Z149" s="136"/>
      <c r="AA149" s="188"/>
    </row>
    <row r="150" spans="3:27" s="130" customFormat="1" x14ac:dyDescent="0.3">
      <c r="C150" s="189">
        <f t="shared" ca="1" si="29"/>
        <v>49264</v>
      </c>
      <c r="D150" s="190">
        <f t="shared" ca="1" si="30"/>
        <v>37</v>
      </c>
      <c r="E150" s="189">
        <f t="shared" ca="1" si="33"/>
        <v>49523</v>
      </c>
      <c r="F150" s="183" t="s">
        <v>157</v>
      </c>
      <c r="G150" s="183"/>
      <c r="H150" s="186">
        <f t="shared" si="31"/>
        <v>132</v>
      </c>
      <c r="I150" s="197">
        <f t="shared" si="34"/>
        <v>-1368400.9989570146</v>
      </c>
      <c r="J150" s="194">
        <f t="shared" si="26"/>
        <v>1151959.7979078754</v>
      </c>
      <c r="K150" s="186">
        <f t="shared" si="32"/>
        <v>216441.20104913926</v>
      </c>
      <c r="L150" s="186">
        <f t="shared" si="27"/>
        <v>104779579.83488408</v>
      </c>
      <c r="M150" s="194">
        <f t="shared" si="35"/>
        <v>-47458.201508241807</v>
      </c>
      <c r="N150" s="194" t="e">
        <f ca="1">+-VLOOKUP(D150,#REF!,3,0)*L149</f>
        <v>#REF!</v>
      </c>
      <c r="O150" s="194">
        <f t="shared" si="36"/>
        <v>-170190.67095</v>
      </c>
      <c r="P150" s="195">
        <f t="shared" si="37"/>
        <v>132</v>
      </c>
      <c r="Q150" s="198">
        <f t="shared" si="28"/>
        <v>-1586049.8714152563</v>
      </c>
      <c r="R150" s="136"/>
      <c r="W150" s="183"/>
      <c r="X150" s="196"/>
      <c r="Y150" s="188"/>
      <c r="Z150" s="136"/>
      <c r="AA150" s="188"/>
    </row>
    <row r="151" spans="3:27" s="130" customFormat="1" x14ac:dyDescent="0.3">
      <c r="C151" s="189">
        <f t="shared" ca="1" si="29"/>
        <v>49264</v>
      </c>
      <c r="D151" s="190">
        <f t="shared" ca="1" si="30"/>
        <v>37</v>
      </c>
      <c r="E151" s="189">
        <f t="shared" ca="1" si="33"/>
        <v>49554</v>
      </c>
      <c r="F151" s="183" t="s">
        <v>158</v>
      </c>
      <c r="G151" s="183"/>
      <c r="H151" s="186">
        <f t="shared" si="31"/>
        <v>133</v>
      </c>
      <c r="I151" s="197">
        <f t="shared" si="34"/>
        <v>-1368400.9989570146</v>
      </c>
      <c r="J151" s="194">
        <f t="shared" si="26"/>
        <v>1149585.121612912</v>
      </c>
      <c r="K151" s="186">
        <f t="shared" si="32"/>
        <v>218815.8773441026</v>
      </c>
      <c r="L151" s="186">
        <f t="shared" si="27"/>
        <v>104560763.95753998</v>
      </c>
      <c r="M151" s="194">
        <f t="shared" si="35"/>
        <v>-47360.370085367598</v>
      </c>
      <c r="N151" s="194" t="e">
        <f ca="1">+-VLOOKUP(D151,#REF!,3,0)*L150</f>
        <v>#REF!</v>
      </c>
      <c r="O151" s="194">
        <f t="shared" si="36"/>
        <v>-170190.67095</v>
      </c>
      <c r="P151" s="195">
        <f t="shared" si="37"/>
        <v>133</v>
      </c>
      <c r="Q151" s="198">
        <f t="shared" si="28"/>
        <v>-1585952.0399923823</v>
      </c>
      <c r="R151" s="136"/>
      <c r="W151" s="183"/>
      <c r="X151" s="196"/>
      <c r="Y151" s="188"/>
      <c r="Z151" s="136"/>
      <c r="AA151" s="188"/>
    </row>
    <row r="152" spans="3:27" s="130" customFormat="1" x14ac:dyDescent="0.3">
      <c r="C152" s="189">
        <f t="shared" ca="1" si="29"/>
        <v>49264</v>
      </c>
      <c r="D152" s="190">
        <f t="shared" ca="1" si="30"/>
        <v>37</v>
      </c>
      <c r="E152" s="189">
        <f t="shared" ca="1" si="33"/>
        <v>49584</v>
      </c>
      <c r="F152" s="183" t="s">
        <v>159</v>
      </c>
      <c r="G152" s="183"/>
      <c r="H152" s="186">
        <f t="shared" si="31"/>
        <v>134</v>
      </c>
      <c r="I152" s="197">
        <f t="shared" si="34"/>
        <v>-1368400.9989570146</v>
      </c>
      <c r="J152" s="194">
        <f t="shared" si="26"/>
        <v>1147184.3916485063</v>
      </c>
      <c r="K152" s="186">
        <f t="shared" si="32"/>
        <v>221216.60730850836</v>
      </c>
      <c r="L152" s="186">
        <f t="shared" si="27"/>
        <v>104339547.35023147</v>
      </c>
      <c r="M152" s="194">
        <f t="shared" si="35"/>
        <v>-47261.465308808067</v>
      </c>
      <c r="N152" s="194" t="e">
        <f ca="1">+-VLOOKUP(D152,#REF!,3,0)*L151</f>
        <v>#REF!</v>
      </c>
      <c r="O152" s="194">
        <f t="shared" si="36"/>
        <v>-170190.67095</v>
      </c>
      <c r="P152" s="195">
        <f t="shared" si="37"/>
        <v>134</v>
      </c>
      <c r="Q152" s="198">
        <f t="shared" si="28"/>
        <v>-1585853.1352158226</v>
      </c>
      <c r="R152" s="136"/>
      <c r="W152" s="183"/>
      <c r="X152" s="196"/>
      <c r="Y152" s="188"/>
      <c r="Z152" s="136"/>
      <c r="AA152" s="188"/>
    </row>
    <row r="153" spans="3:27" s="130" customFormat="1" x14ac:dyDescent="0.3">
      <c r="C153" s="189">
        <f t="shared" ca="1" si="29"/>
        <v>49264</v>
      </c>
      <c r="D153" s="190">
        <f t="shared" ca="1" si="30"/>
        <v>37</v>
      </c>
      <c r="E153" s="189">
        <f t="shared" ca="1" si="33"/>
        <v>49615</v>
      </c>
      <c r="F153" s="183" t="s">
        <v>160</v>
      </c>
      <c r="G153" s="183"/>
      <c r="H153" s="186">
        <f t="shared" si="31"/>
        <v>135</v>
      </c>
      <c r="I153" s="197">
        <f t="shared" si="34"/>
        <v>-1368400.9989570146</v>
      </c>
      <c r="J153" s="194">
        <f t="shared" si="26"/>
        <v>1144757.322167828</v>
      </c>
      <c r="K153" s="186">
        <f t="shared" si="32"/>
        <v>223643.67678918666</v>
      </c>
      <c r="L153" s="186">
        <f t="shared" si="27"/>
        <v>104115903.67344229</v>
      </c>
      <c r="M153" s="194">
        <f t="shared" si="35"/>
        <v>-47161.475402304619</v>
      </c>
      <c r="N153" s="194" t="e">
        <f ca="1">+-VLOOKUP(D153,#REF!,3,0)*L152</f>
        <v>#REF!</v>
      </c>
      <c r="O153" s="194">
        <f t="shared" si="36"/>
        <v>-170190.67095</v>
      </c>
      <c r="P153" s="195">
        <f t="shared" si="37"/>
        <v>135</v>
      </c>
      <c r="Q153" s="198">
        <f t="shared" si="28"/>
        <v>-1585753.1453093193</v>
      </c>
      <c r="R153" s="136"/>
      <c r="W153" s="183"/>
      <c r="X153" s="196"/>
      <c r="Y153" s="188"/>
      <c r="Z153" s="136"/>
      <c r="AA153" s="188"/>
    </row>
    <row r="154" spans="3:27" s="130" customFormat="1" x14ac:dyDescent="0.3">
      <c r="C154" s="189">
        <f t="shared" ca="1" si="29"/>
        <v>49629</v>
      </c>
      <c r="D154" s="190">
        <f t="shared" ca="1" si="30"/>
        <v>38</v>
      </c>
      <c r="E154" s="189">
        <f t="shared" ca="1" si="33"/>
        <v>49645</v>
      </c>
      <c r="F154" s="183" t="s">
        <v>161</v>
      </c>
      <c r="G154" s="183"/>
      <c r="H154" s="186">
        <f t="shared" si="31"/>
        <v>136</v>
      </c>
      <c r="I154" s="197">
        <f t="shared" si="34"/>
        <v>-1368400.9989570146</v>
      </c>
      <c r="J154" s="194">
        <f t="shared" si="26"/>
        <v>1142303.6241878895</v>
      </c>
      <c r="K154" s="186">
        <f t="shared" si="32"/>
        <v>226097.37476912513</v>
      </c>
      <c r="L154" s="186">
        <f t="shared" si="27"/>
        <v>103889806.29867317</v>
      </c>
      <c r="M154" s="194">
        <f t="shared" si="35"/>
        <v>-47060.388460395916</v>
      </c>
      <c r="N154" s="194" t="e">
        <f ca="1">+-VLOOKUP(D154,#REF!,3,0)*L153</f>
        <v>#REF!</v>
      </c>
      <c r="O154" s="194">
        <f t="shared" si="36"/>
        <v>-170190.67095</v>
      </c>
      <c r="P154" s="195">
        <f t="shared" si="37"/>
        <v>136</v>
      </c>
      <c r="Q154" s="198">
        <f t="shared" si="28"/>
        <v>-1585652.0583674104</v>
      </c>
      <c r="R154" s="136"/>
      <c r="W154" s="183"/>
      <c r="X154" s="196"/>
      <c r="Y154" s="188"/>
      <c r="Z154" s="136"/>
    </row>
    <row r="155" spans="3:27" s="130" customFormat="1" x14ac:dyDescent="0.3">
      <c r="C155" s="189">
        <f t="shared" ca="1" si="29"/>
        <v>49629</v>
      </c>
      <c r="D155" s="190">
        <f t="shared" ca="1" si="30"/>
        <v>38</v>
      </c>
      <c r="E155" s="189">
        <f t="shared" ca="1" si="33"/>
        <v>49676</v>
      </c>
      <c r="F155" s="183" t="s">
        <v>162</v>
      </c>
      <c r="G155" s="183"/>
      <c r="H155" s="186">
        <f t="shared" si="31"/>
        <v>137</v>
      </c>
      <c r="I155" s="197">
        <f t="shared" si="34"/>
        <v>-1368400.9989570146</v>
      </c>
      <c r="J155" s="194">
        <f t="shared" si="26"/>
        <v>1139823.0055551378</v>
      </c>
      <c r="K155" s="186">
        <f t="shared" si="32"/>
        <v>228577.99340187688</v>
      </c>
      <c r="L155" s="186">
        <f t="shared" si="27"/>
        <v>103661228.3052713</v>
      </c>
      <c r="M155" s="194">
        <f t="shared" si="35"/>
        <v>-46958.19244700027</v>
      </c>
      <c r="N155" s="194" t="e">
        <f ca="1">+-VLOOKUP(D155,#REF!,3,0)*L154</f>
        <v>#REF!</v>
      </c>
      <c r="O155" s="194">
        <f t="shared" si="36"/>
        <v>-170190.67095</v>
      </c>
      <c r="P155" s="195">
        <f t="shared" si="37"/>
        <v>137</v>
      </c>
      <c r="Q155" s="198">
        <f t="shared" si="28"/>
        <v>-1585549.8623540148</v>
      </c>
      <c r="R155" s="136"/>
    </row>
    <row r="156" spans="3:27" s="130" customFormat="1" x14ac:dyDescent="0.3">
      <c r="C156" s="189">
        <f t="shared" ca="1" si="29"/>
        <v>49629</v>
      </c>
      <c r="D156" s="190">
        <f t="shared" ca="1" si="30"/>
        <v>38</v>
      </c>
      <c r="E156" s="189">
        <f t="shared" ca="1" si="33"/>
        <v>49707</v>
      </c>
      <c r="F156" s="183" t="s">
        <v>163</v>
      </c>
      <c r="G156" s="183"/>
      <c r="H156" s="186">
        <f t="shared" si="31"/>
        <v>138</v>
      </c>
      <c r="I156" s="197">
        <f t="shared" si="34"/>
        <v>-1368400.9989570146</v>
      </c>
      <c r="J156" s="194">
        <f t="shared" si="26"/>
        <v>1137315.1709106679</v>
      </c>
      <c r="K156" s="186">
        <f t="shared" si="32"/>
        <v>231085.82804634678</v>
      </c>
      <c r="L156" s="186">
        <f t="shared" si="27"/>
        <v>103430142.47722495</v>
      </c>
      <c r="M156" s="194">
        <f t="shared" si="35"/>
        <v>-46854.875193982625</v>
      </c>
      <c r="N156" s="194" t="e">
        <f ca="1">+-VLOOKUP(D156,#REF!,3,0)*L155</f>
        <v>#REF!</v>
      </c>
      <c r="O156" s="194">
        <f t="shared" si="36"/>
        <v>-170190.67095</v>
      </c>
      <c r="P156" s="195">
        <f t="shared" si="37"/>
        <v>138</v>
      </c>
      <c r="Q156" s="198">
        <f t="shared" si="28"/>
        <v>-1585446.5451009972</v>
      </c>
      <c r="R156" s="136"/>
    </row>
    <row r="157" spans="3:27" s="130" customFormat="1" x14ac:dyDescent="0.3">
      <c r="C157" s="189">
        <f t="shared" ca="1" si="29"/>
        <v>49629</v>
      </c>
      <c r="D157" s="190">
        <f t="shared" ca="1" si="30"/>
        <v>38</v>
      </c>
      <c r="E157" s="189">
        <f t="shared" ca="1" si="33"/>
        <v>49736</v>
      </c>
      <c r="F157" s="183" t="s">
        <v>164</v>
      </c>
      <c r="G157" s="183"/>
      <c r="H157" s="186">
        <f t="shared" si="31"/>
        <v>139</v>
      </c>
      <c r="I157" s="197">
        <f t="shared" si="34"/>
        <v>-1368400.9989570146</v>
      </c>
      <c r="J157" s="194">
        <f t="shared" si="26"/>
        <v>1134779.821655056</v>
      </c>
      <c r="K157" s="186">
        <f t="shared" si="32"/>
        <v>233621.17730195867</v>
      </c>
      <c r="L157" s="186">
        <f t="shared" si="27"/>
        <v>103196521.29992299</v>
      </c>
      <c r="M157" s="194">
        <f t="shared" si="35"/>
        <v>-46750.424399705676</v>
      </c>
      <c r="N157" s="194" t="e">
        <f ca="1">+-VLOOKUP(D157,#REF!,3,0)*L156</f>
        <v>#REF!</v>
      </c>
      <c r="O157" s="194">
        <f t="shared" si="36"/>
        <v>-170190.67095</v>
      </c>
      <c r="P157" s="195">
        <f t="shared" si="37"/>
        <v>139</v>
      </c>
      <c r="Q157" s="198">
        <f t="shared" si="28"/>
        <v>-1585342.0943067202</v>
      </c>
      <c r="R157" s="136"/>
    </row>
    <row r="158" spans="3:27" s="130" customFormat="1" x14ac:dyDescent="0.3">
      <c r="C158" s="189">
        <f t="shared" ca="1" si="29"/>
        <v>49629</v>
      </c>
      <c r="D158" s="190">
        <f t="shared" ca="1" si="30"/>
        <v>38</v>
      </c>
      <c r="E158" s="189">
        <f t="shared" ca="1" si="33"/>
        <v>49767</v>
      </c>
      <c r="F158" s="183" t="s">
        <v>165</v>
      </c>
      <c r="G158" s="183"/>
      <c r="H158" s="186">
        <f t="shared" si="31"/>
        <v>140</v>
      </c>
      <c r="I158" s="197">
        <f t="shared" si="34"/>
        <v>-1368400.9989570146</v>
      </c>
      <c r="J158" s="194">
        <f t="shared" si="26"/>
        <v>1132216.655912807</v>
      </c>
      <c r="K158" s="186">
        <f t="shared" si="32"/>
        <v>236184.34304420766</v>
      </c>
      <c r="L158" s="186">
        <f t="shared" si="27"/>
        <v>102960336.95687878</v>
      </c>
      <c r="M158" s="194">
        <f t="shared" si="35"/>
        <v>-46644.827627565188</v>
      </c>
      <c r="N158" s="194" t="e">
        <f ca="1">+-VLOOKUP(D158,#REF!,3,0)*L157</f>
        <v>#REF!</v>
      </c>
      <c r="O158" s="194">
        <f t="shared" si="36"/>
        <v>-170190.67095</v>
      </c>
      <c r="P158" s="195">
        <f t="shared" si="37"/>
        <v>140</v>
      </c>
      <c r="Q158" s="198">
        <f t="shared" si="28"/>
        <v>-1585236.4975345798</v>
      </c>
      <c r="R158" s="136"/>
    </row>
    <row r="159" spans="3:27" s="130" customFormat="1" x14ac:dyDescent="0.3">
      <c r="C159" s="189">
        <f t="shared" ca="1" si="29"/>
        <v>49629</v>
      </c>
      <c r="D159" s="190">
        <f t="shared" ca="1" si="30"/>
        <v>38</v>
      </c>
      <c r="E159" s="189">
        <f t="shared" ca="1" si="33"/>
        <v>49797</v>
      </c>
      <c r="F159" s="183" t="s">
        <v>166</v>
      </c>
      <c r="G159" s="183"/>
      <c r="H159" s="186">
        <f t="shared" si="31"/>
        <v>141</v>
      </c>
      <c r="I159" s="197">
        <f t="shared" si="34"/>
        <v>-1368400.9989570146</v>
      </c>
      <c r="J159" s="194">
        <f t="shared" si="26"/>
        <v>1129625.3684964096</v>
      </c>
      <c r="K159" s="186">
        <f t="shared" si="32"/>
        <v>238775.63046060503</v>
      </c>
      <c r="L159" s="186">
        <f t="shared" si="27"/>
        <v>102721561.32641818</v>
      </c>
      <c r="M159" s="194">
        <f t="shared" si="35"/>
        <v>-46538.072304509209</v>
      </c>
      <c r="N159" s="194" t="e">
        <f ca="1">+-VLOOKUP(D159,#REF!,3,0)*L158</f>
        <v>#REF!</v>
      </c>
      <c r="O159" s="194">
        <f t="shared" si="36"/>
        <v>-170190.67095</v>
      </c>
      <c r="P159" s="195">
        <f t="shared" si="37"/>
        <v>141</v>
      </c>
      <c r="Q159" s="198">
        <f t="shared" si="28"/>
        <v>-1585129.7422115237</v>
      </c>
      <c r="R159" s="136"/>
    </row>
    <row r="160" spans="3:27" s="130" customFormat="1" x14ac:dyDescent="0.3">
      <c r="C160" s="189">
        <f t="shared" ca="1" si="29"/>
        <v>49629</v>
      </c>
      <c r="D160" s="190">
        <f t="shared" ca="1" si="30"/>
        <v>38</v>
      </c>
      <c r="E160" s="189">
        <f t="shared" ca="1" si="33"/>
        <v>49828</v>
      </c>
      <c r="F160" s="183" t="s">
        <v>167</v>
      </c>
      <c r="G160" s="183"/>
      <c r="H160" s="186">
        <f t="shared" si="31"/>
        <v>142</v>
      </c>
      <c r="I160" s="197">
        <f t="shared" si="34"/>
        <v>-1368400.9989570146</v>
      </c>
      <c r="J160" s="194">
        <f t="shared" si="26"/>
        <v>1127005.6508699998</v>
      </c>
      <c r="K160" s="186">
        <f t="shared" si="32"/>
        <v>241395.34808701486</v>
      </c>
      <c r="L160" s="186">
        <f t="shared" si="27"/>
        <v>102480165.97833116</v>
      </c>
      <c r="M160" s="194">
        <f t="shared" si="35"/>
        <v>-46430.145719541011</v>
      </c>
      <c r="N160" s="194" t="e">
        <f ca="1">+-VLOOKUP(D160,#REF!,3,0)*L159</f>
        <v>#REF!</v>
      </c>
      <c r="O160" s="194">
        <f t="shared" si="36"/>
        <v>-170190.67095</v>
      </c>
      <c r="P160" s="195">
        <f t="shared" si="37"/>
        <v>142</v>
      </c>
      <c r="Q160" s="198">
        <f t="shared" si="28"/>
        <v>-1585021.8156265556</v>
      </c>
      <c r="R160" s="136"/>
    </row>
    <row r="161" spans="3:18" s="130" customFormat="1" x14ac:dyDescent="0.3">
      <c r="C161" s="189">
        <f t="shared" ca="1" si="29"/>
        <v>49629</v>
      </c>
      <c r="D161" s="190">
        <f t="shared" ca="1" si="30"/>
        <v>38</v>
      </c>
      <c r="E161" s="189">
        <f t="shared" ca="1" si="33"/>
        <v>49858</v>
      </c>
      <c r="F161" s="183" t="s">
        <v>168</v>
      </c>
      <c r="G161" s="183"/>
      <c r="H161" s="186">
        <f t="shared" si="31"/>
        <v>143</v>
      </c>
      <c r="I161" s="197">
        <f t="shared" si="34"/>
        <v>-1368400.9989570146</v>
      </c>
      <c r="J161" s="194">
        <f t="shared" si="26"/>
        <v>1124357.1911126245</v>
      </c>
      <c r="K161" s="186">
        <f t="shared" si="32"/>
        <v>244043.80784439016</v>
      </c>
      <c r="L161" s="186">
        <f t="shared" si="27"/>
        <v>102236122.17048678</v>
      </c>
      <c r="M161" s="194">
        <f t="shared" si="35"/>
        <v>-46321.035022205688</v>
      </c>
      <c r="N161" s="194" t="e">
        <f ca="1">+-VLOOKUP(D161,#REF!,3,0)*L160</f>
        <v>#REF!</v>
      </c>
      <c r="O161" s="194">
        <f t="shared" si="36"/>
        <v>-170190.67095</v>
      </c>
      <c r="P161" s="195">
        <f t="shared" si="37"/>
        <v>143</v>
      </c>
      <c r="Q161" s="198">
        <f t="shared" si="28"/>
        <v>-1584912.7049292203</v>
      </c>
      <c r="R161" s="136"/>
    </row>
    <row r="162" spans="3:18" s="130" customFormat="1" x14ac:dyDescent="0.3">
      <c r="C162" s="189">
        <f t="shared" ca="1" si="29"/>
        <v>49629</v>
      </c>
      <c r="D162" s="190">
        <f t="shared" ca="1" si="30"/>
        <v>38</v>
      </c>
      <c r="E162" s="189">
        <f t="shared" ca="1" si="33"/>
        <v>49889</v>
      </c>
      <c r="F162" s="183" t="s">
        <v>169</v>
      </c>
      <c r="G162" s="183"/>
      <c r="H162" s="186">
        <f t="shared" si="31"/>
        <v>144</v>
      </c>
      <c r="I162" s="197">
        <f t="shared" si="34"/>
        <v>-1368400.9989570146</v>
      </c>
      <c r="J162" s="194">
        <f t="shared" si="26"/>
        <v>1121679.6738811012</v>
      </c>
      <c r="K162" s="186">
        <f t="shared" si="32"/>
        <v>246721.32507591345</v>
      </c>
      <c r="L162" s="186">
        <f t="shared" si="27"/>
        <v>101989400.84541087</v>
      </c>
      <c r="M162" s="194">
        <f t="shared" si="35"/>
        <v>-46210.72722106002</v>
      </c>
      <c r="N162" s="194" t="e">
        <f ca="1">+-VLOOKUP(D162,#REF!,3,0)*L161</f>
        <v>#REF!</v>
      </c>
      <c r="O162" s="194">
        <f t="shared" si="36"/>
        <v>-170190.67095</v>
      </c>
      <c r="P162" s="195">
        <f t="shared" si="37"/>
        <v>144</v>
      </c>
      <c r="Q162" s="198">
        <f t="shared" si="28"/>
        <v>-1584802.3971280747</v>
      </c>
      <c r="R162" s="136"/>
    </row>
    <row r="163" spans="3:18" s="130" customFormat="1" x14ac:dyDescent="0.3">
      <c r="C163" s="189">
        <f t="shared" ca="1" si="29"/>
        <v>49629</v>
      </c>
      <c r="D163" s="190">
        <f t="shared" ca="1" si="30"/>
        <v>38</v>
      </c>
      <c r="E163" s="189">
        <f t="shared" ca="1" si="33"/>
        <v>49920</v>
      </c>
      <c r="F163" s="183" t="s">
        <v>170</v>
      </c>
      <c r="G163" s="183"/>
      <c r="H163" s="186">
        <f t="shared" si="31"/>
        <v>145</v>
      </c>
      <c r="I163" s="197">
        <f t="shared" si="34"/>
        <v>-1368400.9989570146</v>
      </c>
      <c r="J163" s="194">
        <f t="shared" si="26"/>
        <v>1118972.7803724725</v>
      </c>
      <c r="K163" s="186">
        <f t="shared" si="32"/>
        <v>249428.21858454216</v>
      </c>
      <c r="L163" s="186">
        <f t="shared" si="27"/>
        <v>101739972.62682633</v>
      </c>
      <c r="M163" s="194">
        <f t="shared" si="35"/>
        <v>-46099.209182125713</v>
      </c>
      <c r="N163" s="194" t="e">
        <f ca="1">+-VLOOKUP(D163,#REF!,3,0)*L162</f>
        <v>#REF!</v>
      </c>
      <c r="O163" s="194">
        <f t="shared" si="36"/>
        <v>-170190.67095</v>
      </c>
      <c r="P163" s="195">
        <f t="shared" si="37"/>
        <v>145</v>
      </c>
      <c r="Q163" s="198">
        <f t="shared" si="28"/>
        <v>-1584690.8790891403</v>
      </c>
      <c r="R163" s="136"/>
    </row>
    <row r="164" spans="3:18" s="130" customFormat="1" x14ac:dyDescent="0.3">
      <c r="C164" s="189">
        <f t="shared" ca="1" si="29"/>
        <v>49629</v>
      </c>
      <c r="D164" s="190">
        <f t="shared" ca="1" si="30"/>
        <v>38</v>
      </c>
      <c r="E164" s="189">
        <f t="shared" ca="1" si="33"/>
        <v>49950</v>
      </c>
      <c r="F164" s="183" t="s">
        <v>171</v>
      </c>
      <c r="G164" s="183"/>
      <c r="H164" s="186">
        <f t="shared" si="31"/>
        <v>146</v>
      </c>
      <c r="I164" s="197">
        <f t="shared" si="34"/>
        <v>-1368400.9989570146</v>
      </c>
      <c r="J164" s="194">
        <f t="shared" si="26"/>
        <v>1116236.1882860465</v>
      </c>
      <c r="K164" s="186">
        <f t="shared" si="32"/>
        <v>252164.81067096815</v>
      </c>
      <c r="L164" s="186">
        <f t="shared" si="27"/>
        <v>101487807.81615536</v>
      </c>
      <c r="M164" s="194">
        <f t="shared" si="35"/>
        <v>-45986.467627325503</v>
      </c>
      <c r="N164" s="194" t="e">
        <f ca="1">+-VLOOKUP(D164,#REF!,3,0)*L163</f>
        <v>#REF!</v>
      </c>
      <c r="O164" s="194">
        <f t="shared" si="36"/>
        <v>-170190.67095</v>
      </c>
      <c r="P164" s="195">
        <f t="shared" si="37"/>
        <v>146</v>
      </c>
      <c r="Q164" s="198">
        <f t="shared" si="28"/>
        <v>-1584578.1375343401</v>
      </c>
      <c r="R164" s="136"/>
    </row>
    <row r="165" spans="3:18" s="130" customFormat="1" x14ac:dyDescent="0.3">
      <c r="C165" s="189">
        <f t="shared" ca="1" si="29"/>
        <v>49629</v>
      </c>
      <c r="D165" s="190">
        <f t="shared" ca="1" si="30"/>
        <v>38</v>
      </c>
      <c r="E165" s="189">
        <f t="shared" ca="1" si="33"/>
        <v>49981</v>
      </c>
      <c r="F165" s="183" t="s">
        <v>172</v>
      </c>
      <c r="G165" s="183"/>
      <c r="H165" s="186">
        <f t="shared" si="31"/>
        <v>147</v>
      </c>
      <c r="I165" s="197">
        <f t="shared" si="34"/>
        <v>-1368400.9989570146</v>
      </c>
      <c r="J165" s="194">
        <f t="shared" si="26"/>
        <v>1113469.5717850211</v>
      </c>
      <c r="K165" s="186">
        <f t="shared" si="32"/>
        <v>254931.42717199354</v>
      </c>
      <c r="L165" s="186">
        <f t="shared" si="27"/>
        <v>101232876.38898337</v>
      </c>
      <c r="M165" s="194">
        <f t="shared" si="35"/>
        <v>-45872.489132902221</v>
      </c>
      <c r="N165" s="194" t="e">
        <f ca="1">+-VLOOKUP(D165,#REF!,3,0)*L164</f>
        <v>#REF!</v>
      </c>
      <c r="O165" s="194">
        <f t="shared" si="36"/>
        <v>-170190.67095</v>
      </c>
      <c r="P165" s="195">
        <f t="shared" si="37"/>
        <v>147</v>
      </c>
      <c r="Q165" s="198">
        <f t="shared" si="28"/>
        <v>-1584464.1590399167</v>
      </c>
      <c r="R165" s="136"/>
    </row>
    <row r="166" spans="3:18" s="130" customFormat="1" x14ac:dyDescent="0.3">
      <c r="C166" s="189">
        <f t="shared" ca="1" si="29"/>
        <v>49995</v>
      </c>
      <c r="D166" s="190">
        <f t="shared" ca="1" si="30"/>
        <v>39</v>
      </c>
      <c r="E166" s="189">
        <f t="shared" ca="1" si="33"/>
        <v>50011</v>
      </c>
      <c r="F166" s="183" t="s">
        <v>173</v>
      </c>
      <c r="G166" s="183"/>
      <c r="H166" s="186">
        <f t="shared" si="31"/>
        <v>148</v>
      </c>
      <c r="I166" s="197">
        <f t="shared" si="34"/>
        <v>-1368400.9989570146</v>
      </c>
      <c r="J166" s="194">
        <f t="shared" si="26"/>
        <v>1110672.6014576892</v>
      </c>
      <c r="K166" s="186">
        <f t="shared" si="32"/>
        <v>257728.39749932545</v>
      </c>
      <c r="L166" s="186">
        <f t="shared" si="27"/>
        <v>100975147.99148405</v>
      </c>
      <c r="M166" s="194">
        <f t="shared" si="35"/>
        <v>-45757.260127820482</v>
      </c>
      <c r="N166" s="194" t="e">
        <f ca="1">+-VLOOKUP(D166,#REF!,3,0)*L165</f>
        <v>#REF!</v>
      </c>
      <c r="O166" s="194">
        <f t="shared" si="36"/>
        <v>-170190.67095</v>
      </c>
      <c r="P166" s="195">
        <f t="shared" si="37"/>
        <v>148</v>
      </c>
      <c r="Q166" s="198">
        <f t="shared" si="28"/>
        <v>-1584348.9300348351</v>
      </c>
      <c r="R166" s="136"/>
    </row>
    <row r="167" spans="3:18" s="130" customFormat="1" x14ac:dyDescent="0.3">
      <c r="C167" s="189">
        <f t="shared" ca="1" si="29"/>
        <v>49995</v>
      </c>
      <c r="D167" s="190">
        <f t="shared" ca="1" si="30"/>
        <v>39</v>
      </c>
      <c r="E167" s="189">
        <f t="shared" ca="1" si="33"/>
        <v>50042</v>
      </c>
      <c r="F167" s="183" t="s">
        <v>174</v>
      </c>
      <c r="G167" s="183"/>
      <c r="H167" s="186">
        <f t="shared" si="31"/>
        <v>149</v>
      </c>
      <c r="I167" s="197">
        <f t="shared" si="34"/>
        <v>-1368400.9989570146</v>
      </c>
      <c r="J167" s="194">
        <f t="shared" si="26"/>
        <v>1107844.9442782155</v>
      </c>
      <c r="K167" s="186">
        <f t="shared" si="32"/>
        <v>260556.05467879912</v>
      </c>
      <c r="L167" s="186">
        <f t="shared" si="27"/>
        <v>100714591.93680525</v>
      </c>
      <c r="M167" s="194">
        <f t="shared" si="35"/>
        <v>-45640.766892150787</v>
      </c>
      <c r="N167" s="194" t="e">
        <f ca="1">+-VLOOKUP(D167,#REF!,3,0)*L166</f>
        <v>#REF!</v>
      </c>
      <c r="O167" s="194">
        <f t="shared" si="36"/>
        <v>-170190.67095</v>
      </c>
      <c r="P167" s="195">
        <f t="shared" si="37"/>
        <v>149</v>
      </c>
      <c r="Q167" s="198">
        <f t="shared" si="28"/>
        <v>-1584232.4367991653</v>
      </c>
      <c r="R167" s="136"/>
    </row>
    <row r="168" spans="3:18" s="130" customFormat="1" x14ac:dyDescent="0.3">
      <c r="C168" s="189">
        <f t="shared" ca="1" si="29"/>
        <v>49995</v>
      </c>
      <c r="D168" s="190">
        <f t="shared" ca="1" si="30"/>
        <v>39</v>
      </c>
      <c r="E168" s="189">
        <f t="shared" ca="1" si="33"/>
        <v>50073</v>
      </c>
      <c r="F168" s="183" t="s">
        <v>175</v>
      </c>
      <c r="G168" s="183"/>
      <c r="H168" s="186">
        <f t="shared" si="31"/>
        <v>150</v>
      </c>
      <c r="I168" s="197">
        <f t="shared" si="34"/>
        <v>-1368400.9989570146</v>
      </c>
      <c r="J168" s="194">
        <f t="shared" si="26"/>
        <v>1104986.2635669841</v>
      </c>
      <c r="K168" s="186">
        <f t="shared" si="32"/>
        <v>263414.73539003055</v>
      </c>
      <c r="L168" s="186">
        <f t="shared" si="27"/>
        <v>100451177.20141521</v>
      </c>
      <c r="M168" s="194">
        <f t="shared" si="35"/>
        <v>-45522.995555435969</v>
      </c>
      <c r="N168" s="194" t="e">
        <f ca="1">+-VLOOKUP(D168,#REF!,3,0)*L167</f>
        <v>#REF!</v>
      </c>
      <c r="O168" s="194">
        <f t="shared" si="36"/>
        <v>-170190.67095</v>
      </c>
      <c r="P168" s="195">
        <f t="shared" si="37"/>
        <v>150</v>
      </c>
      <c r="Q168" s="198">
        <f t="shared" si="28"/>
        <v>-1584114.6654624506</v>
      </c>
      <c r="R168" s="136"/>
    </row>
    <row r="169" spans="3:18" s="130" customFormat="1" x14ac:dyDescent="0.3">
      <c r="C169" s="189">
        <f t="shared" ca="1" si="29"/>
        <v>49995</v>
      </c>
      <c r="D169" s="190">
        <f t="shared" ca="1" si="30"/>
        <v>39</v>
      </c>
      <c r="E169" s="189">
        <f t="shared" ca="1" si="33"/>
        <v>50101</v>
      </c>
      <c r="F169" s="183" t="s">
        <v>176</v>
      </c>
      <c r="G169" s="183"/>
      <c r="H169" s="186">
        <f t="shared" si="31"/>
        <v>151</v>
      </c>
      <c r="I169" s="197">
        <f t="shared" si="34"/>
        <v>-1368400.9989570146</v>
      </c>
      <c r="J169" s="194">
        <f t="shared" si="26"/>
        <v>1102096.2189505124</v>
      </c>
      <c r="K169" s="186">
        <f t="shared" si="32"/>
        <v>266304.78000650229</v>
      </c>
      <c r="L169" s="186">
        <f t="shared" si="27"/>
        <v>100184872.42140871</v>
      </c>
      <c r="M169" s="194">
        <f t="shared" si="35"/>
        <v>-45403.932095039672</v>
      </c>
      <c r="N169" s="194" t="e">
        <f ca="1">+-VLOOKUP(D169,#REF!,3,0)*L168</f>
        <v>#REF!</v>
      </c>
      <c r="O169" s="194">
        <f t="shared" si="36"/>
        <v>-170190.67095</v>
      </c>
      <c r="P169" s="195">
        <f t="shared" si="37"/>
        <v>151</v>
      </c>
      <c r="Q169" s="198">
        <f t="shared" si="28"/>
        <v>-1583995.6020020542</v>
      </c>
      <c r="R169" s="136"/>
    </row>
    <row r="170" spans="3:18" s="130" customFormat="1" x14ac:dyDescent="0.3">
      <c r="C170" s="189">
        <f t="shared" ca="1" si="29"/>
        <v>49995</v>
      </c>
      <c r="D170" s="190">
        <f t="shared" ca="1" si="30"/>
        <v>39</v>
      </c>
      <c r="E170" s="189">
        <f t="shared" ca="1" si="33"/>
        <v>50132</v>
      </c>
      <c r="F170" s="183" t="s">
        <v>177</v>
      </c>
      <c r="G170" s="183"/>
      <c r="H170" s="186">
        <f t="shared" si="31"/>
        <v>152</v>
      </c>
      <c r="I170" s="197">
        <f t="shared" si="34"/>
        <v>-1368400.9989570146</v>
      </c>
      <c r="J170" s="194">
        <f t="shared" si="26"/>
        <v>1099174.4663209226</v>
      </c>
      <c r="K170" s="186">
        <f t="shared" si="32"/>
        <v>269226.53263609204</v>
      </c>
      <c r="L170" s="186">
        <f t="shared" si="27"/>
        <v>99915645.888772622</v>
      </c>
      <c r="M170" s="194">
        <f t="shared" si="35"/>
        <v>-45283.562334476737</v>
      </c>
      <c r="N170" s="194" t="e">
        <f ca="1">+-VLOOKUP(D170,#REF!,3,0)*L169</f>
        <v>#REF!</v>
      </c>
      <c r="O170" s="194">
        <f t="shared" si="36"/>
        <v>-170190.67095</v>
      </c>
      <c r="P170" s="195">
        <f t="shared" si="37"/>
        <v>152</v>
      </c>
      <c r="Q170" s="198">
        <f t="shared" si="28"/>
        <v>-1583875.2322414913</v>
      </c>
      <c r="R170" s="136"/>
    </row>
    <row r="171" spans="3:18" s="130" customFormat="1" x14ac:dyDescent="0.3">
      <c r="C171" s="189">
        <f t="shared" ca="1" si="29"/>
        <v>49995</v>
      </c>
      <c r="D171" s="190">
        <f t="shared" ca="1" si="30"/>
        <v>39</v>
      </c>
      <c r="E171" s="189">
        <f t="shared" ca="1" si="33"/>
        <v>50162</v>
      </c>
      <c r="F171" s="183" t="s">
        <v>178</v>
      </c>
      <c r="G171" s="183"/>
      <c r="H171" s="186">
        <f t="shared" si="31"/>
        <v>153</v>
      </c>
      <c r="I171" s="197">
        <f t="shared" si="34"/>
        <v>-1368400.9989570146</v>
      </c>
      <c r="J171" s="194">
        <f t="shared" si="26"/>
        <v>1096220.6577949713</v>
      </c>
      <c r="K171" s="186">
        <f t="shared" si="32"/>
        <v>272180.34116204339</v>
      </c>
      <c r="L171" s="186">
        <f t="shared" si="27"/>
        <v>99643465.547610581</v>
      </c>
      <c r="M171" s="194">
        <f t="shared" si="35"/>
        <v>-45161.871941725221</v>
      </c>
      <c r="N171" s="194" t="e">
        <f ca="1">+-VLOOKUP(D171,#REF!,3,0)*L170</f>
        <v>#REF!</v>
      </c>
      <c r="O171" s="194">
        <f t="shared" si="36"/>
        <v>-170190.67095</v>
      </c>
      <c r="P171" s="195">
        <f t="shared" si="37"/>
        <v>153</v>
      </c>
      <c r="Q171" s="198">
        <f t="shared" si="28"/>
        <v>-1583753.5418487398</v>
      </c>
      <c r="R171" s="136"/>
    </row>
    <row r="172" spans="3:18" s="130" customFormat="1" x14ac:dyDescent="0.3">
      <c r="C172" s="189">
        <f t="shared" ca="1" si="29"/>
        <v>49995</v>
      </c>
      <c r="D172" s="190">
        <f t="shared" ca="1" si="30"/>
        <v>39</v>
      </c>
      <c r="E172" s="189">
        <f t="shared" ca="1" si="33"/>
        <v>50193</v>
      </c>
      <c r="F172" s="183" t="s">
        <v>179</v>
      </c>
      <c r="G172" s="183"/>
      <c r="H172" s="186">
        <f t="shared" si="31"/>
        <v>154</v>
      </c>
      <c r="I172" s="197">
        <f t="shared" si="34"/>
        <v>-1368400.9989570146</v>
      </c>
      <c r="J172" s="194">
        <f t="shared" si="26"/>
        <v>1093234.4416726269</v>
      </c>
      <c r="K172" s="186">
        <f t="shared" si="32"/>
        <v>275166.55728438776</v>
      </c>
      <c r="L172" s="186">
        <f t="shared" si="27"/>
        <v>99368298.990326196</v>
      </c>
      <c r="M172" s="194">
        <f t="shared" si="35"/>
        <v>-45038.84642751998</v>
      </c>
      <c r="N172" s="194" t="e">
        <f ca="1">+-VLOOKUP(D172,#REF!,3,0)*L171</f>
        <v>#REF!</v>
      </c>
      <c r="O172" s="194">
        <f t="shared" si="36"/>
        <v>-170190.67095</v>
      </c>
      <c r="P172" s="195">
        <f t="shared" si="37"/>
        <v>154</v>
      </c>
      <c r="Q172" s="198">
        <f t="shared" si="28"/>
        <v>-1583630.5163345346</v>
      </c>
      <c r="R172" s="136"/>
    </row>
    <row r="173" spans="3:18" s="130" customFormat="1" x14ac:dyDescent="0.3">
      <c r="C173" s="189">
        <f t="shared" ca="1" si="29"/>
        <v>49995</v>
      </c>
      <c r="D173" s="190">
        <f t="shared" ca="1" si="30"/>
        <v>39</v>
      </c>
      <c r="E173" s="189">
        <f t="shared" ca="1" si="33"/>
        <v>50223</v>
      </c>
      <c r="F173" s="183" t="s">
        <v>180</v>
      </c>
      <c r="G173" s="183"/>
      <c r="H173" s="186">
        <f t="shared" si="31"/>
        <v>155</v>
      </c>
      <c r="I173" s="197">
        <f t="shared" si="34"/>
        <v>-1368400.9989570146</v>
      </c>
      <c r="J173" s="194">
        <f t="shared" si="26"/>
        <v>1090215.4623951945</v>
      </c>
      <c r="K173" s="186">
        <f t="shared" si="32"/>
        <v>278185.53656182019</v>
      </c>
      <c r="L173" s="186">
        <f t="shared" si="27"/>
        <v>99090113.453764379</v>
      </c>
      <c r="M173" s="194">
        <f t="shared" si="35"/>
        <v>-44914.471143627437</v>
      </c>
      <c r="N173" s="194" t="e">
        <f ca="1">+-VLOOKUP(D173,#REF!,3,0)*L172</f>
        <v>#REF!</v>
      </c>
      <c r="O173" s="194">
        <f t="shared" si="36"/>
        <v>-170190.67095</v>
      </c>
      <c r="P173" s="195">
        <f t="shared" si="37"/>
        <v>155</v>
      </c>
      <c r="Q173" s="198">
        <f t="shared" si="28"/>
        <v>-1583506.1410506421</v>
      </c>
      <c r="R173" s="136"/>
    </row>
    <row r="174" spans="3:18" s="130" customFormat="1" x14ac:dyDescent="0.3">
      <c r="C174" s="189">
        <f t="shared" ca="1" si="29"/>
        <v>49995</v>
      </c>
      <c r="D174" s="190">
        <f t="shared" ca="1" si="30"/>
        <v>39</v>
      </c>
      <c r="E174" s="189">
        <f t="shared" ca="1" si="33"/>
        <v>50254</v>
      </c>
      <c r="F174" s="183" t="s">
        <v>181</v>
      </c>
      <c r="G174" s="183"/>
      <c r="H174" s="186">
        <f t="shared" si="31"/>
        <v>156</v>
      </c>
      <c r="I174" s="197">
        <f t="shared" si="34"/>
        <v>-1368400.9989570146</v>
      </c>
      <c r="J174" s="194">
        <f t="shared" si="26"/>
        <v>1087163.3605029811</v>
      </c>
      <c r="K174" s="186">
        <f t="shared" si="32"/>
        <v>281237.63845403353</v>
      </c>
      <c r="L174" s="186">
        <f t="shared" si="27"/>
        <v>98808875.815310344</v>
      </c>
      <c r="M174" s="194">
        <f t="shared" si="35"/>
        <v>-44788.7312811015</v>
      </c>
      <c r="N174" s="194" t="e">
        <f ca="1">+-VLOOKUP(D174,#REF!,3,0)*L173</f>
        <v>#REF!</v>
      </c>
      <c r="O174" s="194">
        <f t="shared" si="36"/>
        <v>-170190.67095</v>
      </c>
      <c r="P174" s="195">
        <f t="shared" si="37"/>
        <v>156</v>
      </c>
      <c r="Q174" s="198">
        <f t="shared" si="28"/>
        <v>-1583380.4011881161</v>
      </c>
      <c r="R174" s="136"/>
    </row>
    <row r="175" spans="3:18" s="130" customFormat="1" x14ac:dyDescent="0.3">
      <c r="C175" s="189">
        <f t="shared" ca="1" si="29"/>
        <v>49995</v>
      </c>
      <c r="D175" s="190">
        <f t="shared" ca="1" si="30"/>
        <v>39</v>
      </c>
      <c r="E175" s="189">
        <f t="shared" ca="1" si="33"/>
        <v>50285</v>
      </c>
      <c r="F175" s="183" t="s">
        <v>182</v>
      </c>
      <c r="G175" s="183"/>
      <c r="H175" s="186">
        <f t="shared" si="31"/>
        <v>157</v>
      </c>
      <c r="I175" s="197">
        <f t="shared" si="34"/>
        <v>-1368400.9989570146</v>
      </c>
      <c r="J175" s="194">
        <f t="shared" si="26"/>
        <v>1084077.7725924954</v>
      </c>
      <c r="K175" s="186">
        <f t="shared" si="32"/>
        <v>284323.22636451921</v>
      </c>
      <c r="L175" s="186">
        <f t="shared" si="27"/>
        <v>98524552.588945821</v>
      </c>
      <c r="M175" s="194">
        <f t="shared" si="35"/>
        <v>-44661.611868520275</v>
      </c>
      <c r="N175" s="194" t="e">
        <f ca="1">+-VLOOKUP(D175,#REF!,3,0)*L174</f>
        <v>#REF!</v>
      </c>
      <c r="O175" s="194">
        <f t="shared" si="36"/>
        <v>-170190.67095</v>
      </c>
      <c r="P175" s="195">
        <f t="shared" si="37"/>
        <v>157</v>
      </c>
      <c r="Q175" s="198">
        <f t="shared" si="28"/>
        <v>-1583253.2817755349</v>
      </c>
      <c r="R175" s="136"/>
    </row>
    <row r="176" spans="3:18" s="130" customFormat="1" x14ac:dyDescent="0.3">
      <c r="C176" s="189">
        <f t="shared" ca="1" si="29"/>
        <v>49995</v>
      </c>
      <c r="D176" s="190">
        <f t="shared" ca="1" si="30"/>
        <v>39</v>
      </c>
      <c r="E176" s="189">
        <f t="shared" ca="1" si="33"/>
        <v>50315</v>
      </c>
      <c r="F176" s="183" t="s">
        <v>183</v>
      </c>
      <c r="G176" s="183"/>
      <c r="H176" s="186">
        <f t="shared" si="31"/>
        <v>158</v>
      </c>
      <c r="I176" s="197">
        <f t="shared" si="34"/>
        <v>-1368400.9989570146</v>
      </c>
      <c r="J176" s="194">
        <f t="shared" si="26"/>
        <v>1080958.3312731781</v>
      </c>
      <c r="K176" s="186">
        <f t="shared" si="32"/>
        <v>287442.66768383654</v>
      </c>
      <c r="L176" s="186">
        <f t="shared" si="27"/>
        <v>98237109.921261981</v>
      </c>
      <c r="M176" s="194">
        <f t="shared" si="35"/>
        <v>-44533.097770203509</v>
      </c>
      <c r="N176" s="194" t="e">
        <f ca="1">+-VLOOKUP(D176,#REF!,3,0)*L175</f>
        <v>#REF!</v>
      </c>
      <c r="O176" s="194">
        <f t="shared" si="36"/>
        <v>-170190.67095</v>
      </c>
      <c r="P176" s="195">
        <f t="shared" si="37"/>
        <v>158</v>
      </c>
      <c r="Q176" s="198">
        <f t="shared" si="28"/>
        <v>-1583124.7676772182</v>
      </c>
      <c r="R176" s="136"/>
    </row>
    <row r="177" spans="3:18" s="130" customFormat="1" x14ac:dyDescent="0.3">
      <c r="C177" s="189">
        <f t="shared" ca="1" si="29"/>
        <v>49995</v>
      </c>
      <c r="D177" s="190">
        <f t="shared" ca="1" si="30"/>
        <v>39</v>
      </c>
      <c r="E177" s="189">
        <f t="shared" ca="1" si="33"/>
        <v>50346</v>
      </c>
      <c r="F177" s="183" t="s">
        <v>184</v>
      </c>
      <c r="G177" s="183"/>
      <c r="H177" s="186">
        <f t="shared" si="31"/>
        <v>159</v>
      </c>
      <c r="I177" s="197">
        <f t="shared" si="34"/>
        <v>-1368400.9989570146</v>
      </c>
      <c r="J177" s="194">
        <f t="shared" si="26"/>
        <v>1077804.6651236594</v>
      </c>
      <c r="K177" s="186">
        <f t="shared" si="32"/>
        <v>290596.33383335522</v>
      </c>
      <c r="L177" s="186">
        <f t="shared" si="27"/>
        <v>97946513.587428629</v>
      </c>
      <c r="M177" s="194">
        <f t="shared" si="35"/>
        <v>-44403.173684410416</v>
      </c>
      <c r="N177" s="194" t="e">
        <f ca="1">+-VLOOKUP(D177,#REF!,3,0)*L176</f>
        <v>#REF!</v>
      </c>
      <c r="O177" s="194">
        <f t="shared" si="36"/>
        <v>-170190.67095</v>
      </c>
      <c r="P177" s="195">
        <f t="shared" si="37"/>
        <v>159</v>
      </c>
      <c r="Q177" s="198">
        <f t="shared" si="28"/>
        <v>-1582994.8435914251</v>
      </c>
      <c r="R177" s="136"/>
    </row>
    <row r="178" spans="3:18" s="130" customFormat="1" x14ac:dyDescent="0.3">
      <c r="C178" s="189">
        <f t="shared" ca="1" si="29"/>
        <v>50360</v>
      </c>
      <c r="D178" s="190">
        <f t="shared" ca="1" si="30"/>
        <v>40</v>
      </c>
      <c r="E178" s="189">
        <f t="shared" ca="1" si="33"/>
        <v>50376</v>
      </c>
      <c r="F178" s="183" t="s">
        <v>185</v>
      </c>
      <c r="G178" s="183"/>
      <c r="H178" s="186">
        <f t="shared" si="31"/>
        <v>160</v>
      </c>
      <c r="I178" s="197">
        <f t="shared" si="34"/>
        <v>-1368400.9989570146</v>
      </c>
      <c r="J178" s="194">
        <f t="shared" si="26"/>
        <v>1074616.3986475337</v>
      </c>
      <c r="K178" s="186">
        <f t="shared" si="32"/>
        <v>293784.60030948091</v>
      </c>
      <c r="L178" s="186">
        <f t="shared" si="27"/>
        <v>97652728.987119153</v>
      </c>
      <c r="M178" s="194">
        <f t="shared" si="35"/>
        <v>-44271.82414151774</v>
      </c>
      <c r="N178" s="194" t="e">
        <f ca="1">+-VLOOKUP(D178,#REF!,3,0)*L177</f>
        <v>#REF!</v>
      </c>
      <c r="O178" s="194">
        <f t="shared" si="36"/>
        <v>-170190.67095</v>
      </c>
      <c r="P178" s="195">
        <f t="shared" si="37"/>
        <v>160</v>
      </c>
      <c r="Q178" s="198">
        <f t="shared" si="28"/>
        <v>-1582863.4940485323</v>
      </c>
      <c r="R178" s="136"/>
    </row>
    <row r="179" spans="3:18" s="130" customFormat="1" x14ac:dyDescent="0.3">
      <c r="C179" s="189">
        <f t="shared" ca="1" si="29"/>
        <v>50360</v>
      </c>
      <c r="D179" s="190">
        <f t="shared" ca="1" si="30"/>
        <v>40</v>
      </c>
      <c r="E179" s="189">
        <f t="shared" ca="1" si="33"/>
        <v>50407</v>
      </c>
      <c r="F179" s="183" t="s">
        <v>186</v>
      </c>
      <c r="G179" s="183"/>
      <c r="H179" s="186">
        <f t="shared" si="31"/>
        <v>161</v>
      </c>
      <c r="I179" s="197">
        <f t="shared" si="34"/>
        <v>-1368400.9989570146</v>
      </c>
      <c r="J179" s="194">
        <f t="shared" si="26"/>
        <v>1071393.1522286516</v>
      </c>
      <c r="K179" s="186">
        <f t="shared" si="32"/>
        <v>297007.84672836307</v>
      </c>
      <c r="L179" s="186">
        <f t="shared" si="27"/>
        <v>97355721.140390784</v>
      </c>
      <c r="M179" s="194">
        <f t="shared" si="35"/>
        <v>-44139.033502177852</v>
      </c>
      <c r="N179" s="194" t="e">
        <f ca="1">+-VLOOKUP(D179,#REF!,3,0)*L178</f>
        <v>#REF!</v>
      </c>
      <c r="O179" s="194">
        <f t="shared" si="36"/>
        <v>-170190.67095</v>
      </c>
      <c r="P179" s="195">
        <f t="shared" si="37"/>
        <v>161</v>
      </c>
      <c r="Q179" s="198">
        <f t="shared" si="28"/>
        <v>-1582730.7034091924</v>
      </c>
      <c r="R179" s="136"/>
    </row>
    <row r="180" spans="3:18" s="130" customFormat="1" x14ac:dyDescent="0.3">
      <c r="C180" s="189">
        <f t="shared" ca="1" si="29"/>
        <v>50360</v>
      </c>
      <c r="D180" s="190">
        <f t="shared" ca="1" si="30"/>
        <v>40</v>
      </c>
      <c r="E180" s="189">
        <f t="shared" ca="1" si="33"/>
        <v>50438</v>
      </c>
      <c r="F180" s="183" t="s">
        <v>187</v>
      </c>
      <c r="G180" s="183"/>
      <c r="H180" s="186">
        <f t="shared" si="31"/>
        <v>162</v>
      </c>
      <c r="I180" s="197">
        <f t="shared" si="34"/>
        <v>-1368400.9989570146</v>
      </c>
      <c r="J180" s="194">
        <f t="shared" si="26"/>
        <v>1068134.5420859191</v>
      </c>
      <c r="K180" s="186">
        <f t="shared" si="32"/>
        <v>300266.45687109558</v>
      </c>
      <c r="L180" s="186">
        <f t="shared" si="27"/>
        <v>97055454.683519691</v>
      </c>
      <c r="M180" s="194">
        <f t="shared" si="35"/>
        <v>-44004.785955456631</v>
      </c>
      <c r="N180" s="194" t="e">
        <f ca="1">+-VLOOKUP(D180,#REF!,3,0)*L179</f>
        <v>#REF!</v>
      </c>
      <c r="O180" s="194">
        <f t="shared" si="36"/>
        <v>-170190.67095</v>
      </c>
      <c r="P180" s="195">
        <f t="shared" si="37"/>
        <v>162</v>
      </c>
      <c r="Q180" s="198">
        <f t="shared" si="28"/>
        <v>-1582596.4558624711</v>
      </c>
      <c r="R180" s="136"/>
    </row>
    <row r="181" spans="3:18" s="130" customFormat="1" x14ac:dyDescent="0.3">
      <c r="C181" s="189">
        <f t="shared" ca="1" si="29"/>
        <v>50360</v>
      </c>
      <c r="D181" s="190">
        <f t="shared" ca="1" si="30"/>
        <v>40</v>
      </c>
      <c r="E181" s="189">
        <f t="shared" ca="1" si="33"/>
        <v>50466</v>
      </c>
      <c r="F181" s="183" t="s">
        <v>188</v>
      </c>
      <c r="G181" s="183"/>
      <c r="H181" s="186">
        <f t="shared" si="31"/>
        <v>163</v>
      </c>
      <c r="I181" s="197">
        <f t="shared" si="34"/>
        <v>-1368400.9989570146</v>
      </c>
      <c r="J181" s="194">
        <f t="shared" si="26"/>
        <v>1064840.1802276028</v>
      </c>
      <c r="K181" s="186">
        <f t="shared" si="32"/>
        <v>303560.81872941181</v>
      </c>
      <c r="L181" s="186">
        <f t="shared" si="27"/>
        <v>96751893.864790276</v>
      </c>
      <c r="M181" s="194">
        <f t="shared" si="35"/>
        <v>-43869.065516950897</v>
      </c>
      <c r="N181" s="194" t="e">
        <f ca="1">+-VLOOKUP(D181,#REF!,3,0)*L180</f>
        <v>#REF!</v>
      </c>
      <c r="O181" s="194">
        <f t="shared" si="36"/>
        <v>-170190.67095</v>
      </c>
      <c r="P181" s="195">
        <f t="shared" si="37"/>
        <v>163</v>
      </c>
      <c r="Q181" s="198">
        <f t="shared" si="28"/>
        <v>-1582460.7354239654</v>
      </c>
      <c r="R181" s="136"/>
    </row>
    <row r="182" spans="3:18" s="130" customFormat="1" x14ac:dyDescent="0.3">
      <c r="C182" s="189">
        <f t="shared" ca="1" si="29"/>
        <v>50360</v>
      </c>
      <c r="D182" s="190">
        <f t="shared" ca="1" si="30"/>
        <v>40</v>
      </c>
      <c r="E182" s="189">
        <f t="shared" ca="1" si="33"/>
        <v>50497</v>
      </c>
      <c r="F182" s="183" t="s">
        <v>189</v>
      </c>
      <c r="G182" s="183"/>
      <c r="H182" s="186">
        <f t="shared" si="31"/>
        <v>164</v>
      </c>
      <c r="I182" s="197">
        <f t="shared" si="34"/>
        <v>-1368400.9989570146</v>
      </c>
      <c r="J182" s="194">
        <f t="shared" si="26"/>
        <v>1061509.6744051336</v>
      </c>
      <c r="K182" s="186">
        <f t="shared" si="32"/>
        <v>306891.32455188106</v>
      </c>
      <c r="L182" s="186">
        <f t="shared" si="27"/>
        <v>96445002.540238395</v>
      </c>
      <c r="M182" s="194">
        <f t="shared" si="35"/>
        <v>-43731.856026885202</v>
      </c>
      <c r="N182" s="194" t="e">
        <f ca="1">+-VLOOKUP(D182,#REF!,3,0)*L181</f>
        <v>#REF!</v>
      </c>
      <c r="O182" s="194">
        <f t="shared" si="36"/>
        <v>-170190.67095</v>
      </c>
      <c r="P182" s="195">
        <f t="shared" si="37"/>
        <v>164</v>
      </c>
      <c r="Q182" s="198">
        <f t="shared" si="28"/>
        <v>-1582323.5259338997</v>
      </c>
      <c r="R182" s="136"/>
    </row>
    <row r="183" spans="3:18" s="130" customFormat="1" x14ac:dyDescent="0.3">
      <c r="C183" s="189">
        <f t="shared" ca="1" si="29"/>
        <v>50360</v>
      </c>
      <c r="D183" s="190">
        <f t="shared" ca="1" si="30"/>
        <v>40</v>
      </c>
      <c r="E183" s="189">
        <f t="shared" ca="1" si="33"/>
        <v>50527</v>
      </c>
      <c r="F183" s="183" t="s">
        <v>190</v>
      </c>
      <c r="G183" s="183"/>
      <c r="H183" s="186">
        <f t="shared" si="31"/>
        <v>165</v>
      </c>
      <c r="I183" s="197">
        <f t="shared" si="34"/>
        <v>-1368400.9989570146</v>
      </c>
      <c r="J183" s="194">
        <f t="shared" si="26"/>
        <v>1058142.6280664015</v>
      </c>
      <c r="K183" s="186">
        <f t="shared" si="32"/>
        <v>310258.37089061318</v>
      </c>
      <c r="L183" s="186">
        <f t="shared" si="27"/>
        <v>96134744.169347778</v>
      </c>
      <c r="M183" s="194">
        <f t="shared" si="35"/>
        <v>-43593.141148187751</v>
      </c>
      <c r="N183" s="194" t="e">
        <f ca="1">+-VLOOKUP(D183,#REF!,3,0)*L182</f>
        <v>#REF!</v>
      </c>
      <c r="O183" s="194">
        <f t="shared" si="36"/>
        <v>-170190.67095</v>
      </c>
      <c r="P183" s="195">
        <f t="shared" si="37"/>
        <v>165</v>
      </c>
      <c r="Q183" s="198">
        <f t="shared" si="28"/>
        <v>-1582184.8110552023</v>
      </c>
      <c r="R183" s="136"/>
    </row>
    <row r="184" spans="3:18" s="130" customFormat="1" x14ac:dyDescent="0.3">
      <c r="C184" s="189">
        <f t="shared" ca="1" si="29"/>
        <v>50360</v>
      </c>
      <c r="D184" s="190">
        <f t="shared" ca="1" si="30"/>
        <v>40</v>
      </c>
      <c r="E184" s="189">
        <f t="shared" ca="1" si="33"/>
        <v>50558</v>
      </c>
      <c r="F184" s="183" t="s">
        <v>191</v>
      </c>
      <c r="G184" s="183"/>
      <c r="H184" s="186">
        <f t="shared" si="31"/>
        <v>166</v>
      </c>
      <c r="I184" s="197">
        <f t="shared" si="34"/>
        <v>-1368400.9989570146</v>
      </c>
      <c r="J184" s="194">
        <f t="shared" si="26"/>
        <v>1054738.640308541</v>
      </c>
      <c r="K184" s="186">
        <f t="shared" si="32"/>
        <v>313662.35864847363</v>
      </c>
      <c r="L184" s="186">
        <f t="shared" si="27"/>
        <v>95821081.810699299</v>
      </c>
      <c r="M184" s="194">
        <f t="shared" si="35"/>
        <v>-43452.904364545197</v>
      </c>
      <c r="N184" s="194" t="e">
        <f ca="1">+-VLOOKUP(D184,#REF!,3,0)*L183</f>
        <v>#REF!</v>
      </c>
      <c r="O184" s="194">
        <f t="shared" si="36"/>
        <v>-170190.67095</v>
      </c>
      <c r="P184" s="195">
        <f t="shared" si="37"/>
        <v>166</v>
      </c>
      <c r="Q184" s="198">
        <f t="shared" si="28"/>
        <v>-1582044.5742715597</v>
      </c>
      <c r="R184" s="136"/>
    </row>
    <row r="185" spans="3:18" s="130" customFormat="1" x14ac:dyDescent="0.3">
      <c r="C185" s="189">
        <f t="shared" ca="1" si="29"/>
        <v>50360</v>
      </c>
      <c r="D185" s="190">
        <f t="shared" ca="1" si="30"/>
        <v>40</v>
      </c>
      <c r="E185" s="189">
        <f t="shared" ca="1" si="33"/>
        <v>50588</v>
      </c>
      <c r="F185" s="183" t="s">
        <v>192</v>
      </c>
      <c r="G185" s="183"/>
      <c r="H185" s="186">
        <f t="shared" si="31"/>
        <v>167</v>
      </c>
      <c r="I185" s="197">
        <f t="shared" si="34"/>
        <v>-1368400.9989570146</v>
      </c>
      <c r="J185" s="194">
        <f t="shared" si="26"/>
        <v>1051297.3058301958</v>
      </c>
      <c r="K185" s="186">
        <f t="shared" si="32"/>
        <v>317103.69312681886</v>
      </c>
      <c r="L185" s="186">
        <f t="shared" si="27"/>
        <v>95503978.117572486</v>
      </c>
      <c r="M185" s="194">
        <f t="shared" si="35"/>
        <v>-43311.128978436078</v>
      </c>
      <c r="N185" s="194" t="e">
        <f ca="1">+-VLOOKUP(D185,#REF!,3,0)*L184</f>
        <v>#REF!</v>
      </c>
      <c r="O185" s="194">
        <f t="shared" si="36"/>
        <v>-170190.67095</v>
      </c>
      <c r="P185" s="195">
        <f t="shared" si="37"/>
        <v>167</v>
      </c>
      <c r="Q185" s="198">
        <f t="shared" si="28"/>
        <v>-1581902.7988854507</v>
      </c>
      <c r="R185" s="136"/>
    </row>
    <row r="186" spans="3:18" s="130" customFormat="1" x14ac:dyDescent="0.3">
      <c r="C186" s="189">
        <f t="shared" ca="1" si="29"/>
        <v>50360</v>
      </c>
      <c r="D186" s="190">
        <f t="shared" ca="1" si="30"/>
        <v>40</v>
      </c>
      <c r="E186" s="189">
        <f t="shared" ca="1" si="33"/>
        <v>50619</v>
      </c>
      <c r="F186" s="183" t="s">
        <v>193</v>
      </c>
      <c r="G186" s="183"/>
      <c r="H186" s="186">
        <f t="shared" si="31"/>
        <v>168</v>
      </c>
      <c r="I186" s="197">
        <f t="shared" si="34"/>
        <v>-1368400.9989570146</v>
      </c>
      <c r="J186" s="194">
        <f t="shared" si="26"/>
        <v>1047818.2148832619</v>
      </c>
      <c r="K186" s="186">
        <f t="shared" si="32"/>
        <v>320582.7840737527</v>
      </c>
      <c r="L186" s="186">
        <f t="shared" si="27"/>
        <v>95183395.333498731</v>
      </c>
      <c r="M186" s="194">
        <f t="shared" si="35"/>
        <v>-43167.798109142765</v>
      </c>
      <c r="N186" s="194" t="e">
        <f ca="1">+-VLOOKUP(D186,#REF!,3,0)*L185</f>
        <v>#REF!</v>
      </c>
      <c r="O186" s="194">
        <f t="shared" si="36"/>
        <v>-170190.67095</v>
      </c>
      <c r="P186" s="195">
        <f t="shared" si="37"/>
        <v>168</v>
      </c>
      <c r="Q186" s="198">
        <f t="shared" si="28"/>
        <v>-1581759.4680161574</v>
      </c>
      <c r="R186" s="136"/>
    </row>
    <row r="187" spans="3:18" s="130" customFormat="1" x14ac:dyDescent="0.3">
      <c r="C187" s="189">
        <f t="shared" ca="1" si="29"/>
        <v>50360</v>
      </c>
      <c r="D187" s="190">
        <f t="shared" ca="1" si="30"/>
        <v>40</v>
      </c>
      <c r="E187" s="189">
        <f t="shared" ca="1" si="33"/>
        <v>50650</v>
      </c>
      <c r="F187" s="183" t="s">
        <v>194</v>
      </c>
      <c r="G187" s="183"/>
      <c r="H187" s="186">
        <f t="shared" si="31"/>
        <v>169</v>
      </c>
      <c r="I187" s="197">
        <f t="shared" si="34"/>
        <v>-1368400.9989570146</v>
      </c>
      <c r="J187" s="194">
        <f t="shared" si="26"/>
        <v>1044300.953224099</v>
      </c>
      <c r="K187" s="186">
        <f t="shared" si="32"/>
        <v>324100.04573291563</v>
      </c>
      <c r="L187" s="186">
        <f t="shared" si="27"/>
        <v>94859295.287765816</v>
      </c>
      <c r="M187" s="194">
        <f t="shared" si="35"/>
        <v>-43022.894690741428</v>
      </c>
      <c r="N187" s="194" t="e">
        <f ca="1">+-VLOOKUP(D187,#REF!,3,0)*L186</f>
        <v>#REF!</v>
      </c>
      <c r="O187" s="194">
        <f t="shared" si="36"/>
        <v>-170190.67095</v>
      </c>
      <c r="P187" s="195">
        <f t="shared" si="37"/>
        <v>169</v>
      </c>
      <c r="Q187" s="198">
        <f t="shared" si="28"/>
        <v>-1581614.5645977559</v>
      </c>
      <c r="R187" s="136"/>
    </row>
    <row r="188" spans="3:18" s="130" customFormat="1" x14ac:dyDescent="0.3">
      <c r="C188" s="189">
        <f t="shared" ca="1" si="29"/>
        <v>50360</v>
      </c>
      <c r="D188" s="190">
        <f t="shared" ca="1" si="30"/>
        <v>40</v>
      </c>
      <c r="E188" s="189">
        <f t="shared" ca="1" si="33"/>
        <v>50680</v>
      </c>
      <c r="F188" s="183" t="s">
        <v>195</v>
      </c>
      <c r="G188" s="183"/>
      <c r="H188" s="186">
        <f t="shared" si="31"/>
        <v>170</v>
      </c>
      <c r="I188" s="197">
        <f t="shared" si="34"/>
        <v>-1368400.9989570146</v>
      </c>
      <c r="J188" s="194">
        <f t="shared" si="26"/>
        <v>1040745.1020642094</v>
      </c>
      <c r="K188" s="186">
        <f t="shared" si="32"/>
        <v>327655.89689280523</v>
      </c>
      <c r="L188" s="186">
        <f t="shared" si="27"/>
        <v>94531639.390873015</v>
      </c>
      <c r="M188" s="194">
        <f t="shared" si="35"/>
        <v>-42876.401470070145</v>
      </c>
      <c r="N188" s="194" t="e">
        <f ca="1">+-VLOOKUP(D188,#REF!,3,0)*L187</f>
        <v>#REF!</v>
      </c>
      <c r="O188" s="194">
        <f t="shared" si="36"/>
        <v>-170190.67095</v>
      </c>
      <c r="P188" s="195">
        <f t="shared" si="37"/>
        <v>170</v>
      </c>
      <c r="Q188" s="198">
        <f t="shared" si="28"/>
        <v>-1581468.0713770848</v>
      </c>
      <c r="R188" s="136"/>
    </row>
    <row r="189" spans="3:18" s="130" customFormat="1" x14ac:dyDescent="0.3">
      <c r="C189" s="189">
        <f t="shared" ca="1" si="29"/>
        <v>50360</v>
      </c>
      <c r="D189" s="190">
        <f t="shared" ca="1" si="30"/>
        <v>40</v>
      </c>
      <c r="E189" s="189">
        <f t="shared" ca="1" si="33"/>
        <v>50711</v>
      </c>
      <c r="F189" s="183" t="s">
        <v>196</v>
      </c>
      <c r="G189" s="183"/>
      <c r="H189" s="186">
        <f t="shared" si="31"/>
        <v>171</v>
      </c>
      <c r="I189" s="197">
        <f t="shared" si="34"/>
        <v>-1368400.9989570146</v>
      </c>
      <c r="J189" s="194">
        <f t="shared" si="26"/>
        <v>1037150.238020373</v>
      </c>
      <c r="K189" s="186">
        <f t="shared" si="32"/>
        <v>331250.7609366416</v>
      </c>
      <c r="L189" s="186">
        <f t="shared" si="27"/>
        <v>94200388.629936367</v>
      </c>
      <c r="M189" s="194">
        <f t="shared" si="35"/>
        <v>-42728.301004674599</v>
      </c>
      <c r="N189" s="194" t="e">
        <f ca="1">+-VLOOKUP(D189,#REF!,3,0)*L188</f>
        <v>#REF!</v>
      </c>
      <c r="O189" s="194">
        <f t="shared" si="36"/>
        <v>-170190.67095</v>
      </c>
      <c r="P189" s="195">
        <f t="shared" si="37"/>
        <v>171</v>
      </c>
      <c r="Q189" s="198">
        <f t="shared" si="28"/>
        <v>-1581319.9709116891</v>
      </c>
      <c r="R189" s="136"/>
    </row>
    <row r="190" spans="3:18" s="130" customFormat="1" x14ac:dyDescent="0.3">
      <c r="C190" s="189">
        <f t="shared" ca="1" si="29"/>
        <v>50725</v>
      </c>
      <c r="D190" s="190">
        <f t="shared" ca="1" si="30"/>
        <v>41</v>
      </c>
      <c r="E190" s="189">
        <f t="shared" ca="1" si="33"/>
        <v>50741</v>
      </c>
      <c r="F190" s="183" t="s">
        <v>197</v>
      </c>
      <c r="G190" s="183"/>
      <c r="H190" s="186">
        <f t="shared" si="31"/>
        <v>172</v>
      </c>
      <c r="I190" s="197">
        <f t="shared" si="34"/>
        <v>-1368400.9989570146</v>
      </c>
      <c r="J190" s="194">
        <f t="shared" si="26"/>
        <v>1033515.9330642375</v>
      </c>
      <c r="K190" s="186">
        <f t="shared" si="32"/>
        <v>334885.06589277717</v>
      </c>
      <c r="L190" s="186">
        <f t="shared" si="27"/>
        <v>93865503.564043596</v>
      </c>
      <c r="M190" s="194">
        <f t="shared" si="35"/>
        <v>-42578.575660731236</v>
      </c>
      <c r="N190" s="194" t="e">
        <f ca="1">+-VLOOKUP(D190,#REF!,3,0)*L189</f>
        <v>#REF!</v>
      </c>
      <c r="O190" s="194">
        <f t="shared" si="36"/>
        <v>-170190.67095</v>
      </c>
      <c r="P190" s="195">
        <f t="shared" si="37"/>
        <v>172</v>
      </c>
      <c r="Q190" s="198">
        <f t="shared" si="28"/>
        <v>-1581170.2455677458</v>
      </c>
      <c r="R190" s="136"/>
    </row>
    <row r="191" spans="3:18" s="130" customFormat="1" x14ac:dyDescent="0.3">
      <c r="C191" s="189">
        <f t="shared" ca="1" si="29"/>
        <v>50725</v>
      </c>
      <c r="D191" s="190">
        <f t="shared" ca="1" si="30"/>
        <v>41</v>
      </c>
      <c r="E191" s="189">
        <f t="shared" ca="1" si="33"/>
        <v>50772</v>
      </c>
      <c r="F191" s="183" t="s">
        <v>198</v>
      </c>
      <c r="G191" s="183"/>
      <c r="H191" s="186">
        <f t="shared" si="31"/>
        <v>173</v>
      </c>
      <c r="I191" s="197">
        <f t="shared" si="34"/>
        <v>-1368400.9989570146</v>
      </c>
      <c r="J191" s="194">
        <f t="shared" si="26"/>
        <v>1029841.7544713537</v>
      </c>
      <c r="K191" s="186">
        <f t="shared" si="32"/>
        <v>338559.24448566092</v>
      </c>
      <c r="L191" s="186">
        <f t="shared" si="27"/>
        <v>93526944.319557935</v>
      </c>
      <c r="M191" s="194">
        <f t="shared" si="35"/>
        <v>-42427.207610947706</v>
      </c>
      <c r="N191" s="194" t="e">
        <f ca="1">+-VLOOKUP(D191,#REF!,3,0)*L190</f>
        <v>#REF!</v>
      </c>
      <c r="O191" s="194">
        <f t="shared" si="36"/>
        <v>-170190.67095</v>
      </c>
      <c r="P191" s="195">
        <f t="shared" si="37"/>
        <v>173</v>
      </c>
      <c r="Q191" s="198">
        <f t="shared" si="28"/>
        <v>-1581018.8775179624</v>
      </c>
      <c r="R191" s="136"/>
    </row>
    <row r="192" spans="3:18" s="130" customFormat="1" x14ac:dyDescent="0.3">
      <c r="C192" s="189">
        <f t="shared" ca="1" si="29"/>
        <v>50725</v>
      </c>
      <c r="D192" s="190">
        <f t="shared" ca="1" si="30"/>
        <v>41</v>
      </c>
      <c r="E192" s="189">
        <f t="shared" ca="1" si="33"/>
        <v>50803</v>
      </c>
      <c r="F192" s="183" t="s">
        <v>199</v>
      </c>
      <c r="G192" s="183"/>
      <c r="H192" s="186">
        <f t="shared" si="31"/>
        <v>174</v>
      </c>
      <c r="I192" s="197">
        <f t="shared" si="34"/>
        <v>-1368400.9989570146</v>
      </c>
      <c r="J192" s="194">
        <f t="shared" si="26"/>
        <v>1026127.2647696527</v>
      </c>
      <c r="K192" s="186">
        <f t="shared" si="32"/>
        <v>342273.7341873619</v>
      </c>
      <c r="L192" s="186">
        <f t="shared" si="27"/>
        <v>93184670.58537057</v>
      </c>
      <c r="M192" s="194">
        <f t="shared" si="35"/>
        <v>-42274.178832440186</v>
      </c>
      <c r="N192" s="194" t="e">
        <f ca="1">+-VLOOKUP(D192,#REF!,3,0)*L191</f>
        <v>#REF!</v>
      </c>
      <c r="O192" s="194">
        <f t="shared" si="36"/>
        <v>-170190.67095</v>
      </c>
      <c r="P192" s="195">
        <f t="shared" si="37"/>
        <v>174</v>
      </c>
      <c r="Q192" s="198">
        <f t="shared" si="28"/>
        <v>-1580865.8487394548</v>
      </c>
      <c r="R192" s="136"/>
    </row>
    <row r="193" spans="3:18" s="130" customFormat="1" x14ac:dyDescent="0.3">
      <c r="C193" s="189">
        <f t="shared" ca="1" si="29"/>
        <v>50725</v>
      </c>
      <c r="D193" s="190">
        <f t="shared" ca="1" si="30"/>
        <v>41</v>
      </c>
      <c r="E193" s="189">
        <f t="shared" ca="1" si="33"/>
        <v>50831</v>
      </c>
      <c r="F193" s="183" t="s">
        <v>200</v>
      </c>
      <c r="G193" s="183"/>
      <c r="H193" s="186">
        <f t="shared" si="31"/>
        <v>175</v>
      </c>
      <c r="I193" s="197">
        <f t="shared" si="34"/>
        <v>-1368400.9989570146</v>
      </c>
      <c r="J193" s="194">
        <f t="shared" si="26"/>
        <v>1022372.0216873582</v>
      </c>
      <c r="K193" s="186">
        <f t="shared" si="32"/>
        <v>346028.97726965649</v>
      </c>
      <c r="L193" s="186">
        <f t="shared" si="27"/>
        <v>92838641.608100921</v>
      </c>
      <c r="M193" s="194">
        <f t="shared" si="35"/>
        <v>-42119.471104587494</v>
      </c>
      <c r="N193" s="194" t="e">
        <f ca="1">+-VLOOKUP(D193,#REF!,3,0)*L192</f>
        <v>#REF!</v>
      </c>
      <c r="O193" s="194">
        <f t="shared" si="36"/>
        <v>-170190.67095</v>
      </c>
      <c r="P193" s="195">
        <f t="shared" si="37"/>
        <v>175</v>
      </c>
      <c r="Q193" s="198">
        <f t="shared" si="28"/>
        <v>-1580711.141011602</v>
      </c>
      <c r="R193" s="136"/>
    </row>
    <row r="194" spans="3:18" s="130" customFormat="1" x14ac:dyDescent="0.3">
      <c r="C194" s="189">
        <f t="shared" ca="1" si="29"/>
        <v>50725</v>
      </c>
      <c r="D194" s="190">
        <f t="shared" ca="1" si="30"/>
        <v>41</v>
      </c>
      <c r="E194" s="189">
        <f t="shared" ca="1" si="33"/>
        <v>50862</v>
      </c>
      <c r="F194" s="183" t="s">
        <v>201</v>
      </c>
      <c r="G194" s="183"/>
      <c r="H194" s="186">
        <f t="shared" si="31"/>
        <v>176</v>
      </c>
      <c r="I194" s="197">
        <f t="shared" si="34"/>
        <v>-1368400.9989570146</v>
      </c>
      <c r="J194" s="194">
        <f t="shared" si="26"/>
        <v>1018575.5781003255</v>
      </c>
      <c r="K194" s="186">
        <f t="shared" si="32"/>
        <v>349825.4208566891</v>
      </c>
      <c r="L194" s="186">
        <f t="shared" si="27"/>
        <v>92488816.187244236</v>
      </c>
      <c r="M194" s="194">
        <f t="shared" si="35"/>
        <v>-41963.066006861613</v>
      </c>
      <c r="N194" s="194" t="e">
        <f ca="1">+-VLOOKUP(D194,#REF!,3,0)*L193</f>
        <v>#REF!</v>
      </c>
      <c r="O194" s="194">
        <f t="shared" si="36"/>
        <v>-170190.67095</v>
      </c>
      <c r="P194" s="195">
        <f t="shared" si="37"/>
        <v>176</v>
      </c>
      <c r="Q194" s="198">
        <f t="shared" si="28"/>
        <v>-1580554.7359138762</v>
      </c>
      <c r="R194" s="136"/>
    </row>
    <row r="195" spans="3:18" s="130" customFormat="1" x14ac:dyDescent="0.3">
      <c r="C195" s="189">
        <f t="shared" ca="1" si="29"/>
        <v>50725</v>
      </c>
      <c r="D195" s="190">
        <f t="shared" ca="1" si="30"/>
        <v>41</v>
      </c>
      <c r="E195" s="189">
        <f t="shared" ca="1" si="33"/>
        <v>50892</v>
      </c>
      <c r="F195" s="183" t="s">
        <v>202</v>
      </c>
      <c r="G195" s="183"/>
      <c r="H195" s="186">
        <f t="shared" si="31"/>
        <v>177</v>
      </c>
      <c r="I195" s="197">
        <f t="shared" si="34"/>
        <v>-1368400.9989570146</v>
      </c>
      <c r="J195" s="194">
        <f t="shared" si="26"/>
        <v>1014737.4819788049</v>
      </c>
      <c r="K195" s="186">
        <f t="shared" si="32"/>
        <v>353663.51697820972</v>
      </c>
      <c r="L195" s="186">
        <f t="shared" si="27"/>
        <v>92135152.670266032</v>
      </c>
      <c r="M195" s="194">
        <f t="shared" si="35"/>
        <v>-41804.944916634391</v>
      </c>
      <c r="N195" s="194" t="e">
        <f ca="1">+-VLOOKUP(D195,#REF!,3,0)*L194</f>
        <v>#REF!</v>
      </c>
      <c r="O195" s="194">
        <f t="shared" si="36"/>
        <v>-170190.67095</v>
      </c>
      <c r="P195" s="195">
        <f t="shared" si="37"/>
        <v>177</v>
      </c>
      <c r="Q195" s="198">
        <f t="shared" si="28"/>
        <v>-1580396.6148236489</v>
      </c>
      <c r="R195" s="136"/>
    </row>
    <row r="196" spans="3:18" s="130" customFormat="1" x14ac:dyDescent="0.3">
      <c r="C196" s="189">
        <f t="shared" ca="1" si="29"/>
        <v>50725</v>
      </c>
      <c r="D196" s="190">
        <f t="shared" ca="1" si="30"/>
        <v>41</v>
      </c>
      <c r="E196" s="189">
        <f t="shared" ca="1" si="33"/>
        <v>50923</v>
      </c>
      <c r="F196" s="183" t="s">
        <v>203</v>
      </c>
      <c r="G196" s="183"/>
      <c r="H196" s="186">
        <f t="shared" si="31"/>
        <v>178</v>
      </c>
      <c r="I196" s="197">
        <f t="shared" si="34"/>
        <v>-1368400.9989570146</v>
      </c>
      <c r="J196" s="194">
        <f t="shared" si="26"/>
        <v>1010857.2763336198</v>
      </c>
      <c r="K196" s="186">
        <f t="shared" si="32"/>
        <v>357543.7226233948</v>
      </c>
      <c r="L196" s="186">
        <f t="shared" si="27"/>
        <v>91777608.947642639</v>
      </c>
      <c r="M196" s="194">
        <f t="shared" si="35"/>
        <v>-41645.089006960246</v>
      </c>
      <c r="N196" s="194" t="e">
        <f ca="1">+-VLOOKUP(D196,#REF!,3,0)*L195</f>
        <v>#REF!</v>
      </c>
      <c r="O196" s="194">
        <f t="shared" si="36"/>
        <v>-170190.67095</v>
      </c>
      <c r="P196" s="195">
        <f t="shared" si="37"/>
        <v>178</v>
      </c>
      <c r="Q196" s="198">
        <f t="shared" si="28"/>
        <v>-1580236.7589139747</v>
      </c>
      <c r="R196" s="136"/>
    </row>
    <row r="197" spans="3:18" s="130" customFormat="1" x14ac:dyDescent="0.3">
      <c r="C197" s="189">
        <f t="shared" ca="1" si="29"/>
        <v>50725</v>
      </c>
      <c r="D197" s="190">
        <f t="shared" ca="1" si="30"/>
        <v>41</v>
      </c>
      <c r="E197" s="189">
        <f t="shared" ca="1" si="33"/>
        <v>50953</v>
      </c>
      <c r="F197" s="183" t="s">
        <v>204</v>
      </c>
      <c r="G197" s="183"/>
      <c r="H197" s="186">
        <f t="shared" si="31"/>
        <v>179</v>
      </c>
      <c r="I197" s="197">
        <f t="shared" si="34"/>
        <v>-1368400.9989570146</v>
      </c>
      <c r="J197" s="194">
        <f t="shared" si="26"/>
        <v>1006934.4991617543</v>
      </c>
      <c r="K197" s="186">
        <f t="shared" si="32"/>
        <v>361466.49979526037</v>
      </c>
      <c r="L197" s="186">
        <f t="shared" si="27"/>
        <v>91416142.447847381</v>
      </c>
      <c r="M197" s="194">
        <f t="shared" si="35"/>
        <v>-41483.47924433447</v>
      </c>
      <c r="N197" s="194" t="e">
        <f ca="1">+-VLOOKUP(D197,#REF!,3,0)*L196</f>
        <v>#REF!</v>
      </c>
      <c r="O197" s="194">
        <f t="shared" si="36"/>
        <v>-170190.67095</v>
      </c>
      <c r="P197" s="195">
        <f t="shared" si="37"/>
        <v>179</v>
      </c>
      <c r="Q197" s="198">
        <f t="shared" si="28"/>
        <v>-1580075.149151349</v>
      </c>
      <c r="R197" s="136"/>
    </row>
    <row r="198" spans="3:18" s="130" customFormat="1" x14ac:dyDescent="0.3">
      <c r="C198" s="189">
        <f t="shared" ca="1" si="29"/>
        <v>50725</v>
      </c>
      <c r="D198" s="190">
        <f t="shared" ca="1" si="30"/>
        <v>41</v>
      </c>
      <c r="E198" s="189">
        <f t="shared" ca="1" si="33"/>
        <v>50984</v>
      </c>
      <c r="F198" s="183" t="s">
        <v>205</v>
      </c>
      <c r="G198" s="183"/>
      <c r="H198" s="186">
        <f t="shared" si="31"/>
        <v>180</v>
      </c>
      <c r="I198" s="197">
        <f t="shared" si="34"/>
        <v>-1368400.9989570146</v>
      </c>
      <c r="J198" s="194">
        <f t="shared" si="26"/>
        <v>1002968.6833913443</v>
      </c>
      <c r="K198" s="186">
        <f t="shared" si="32"/>
        <v>365432.31556567037</v>
      </c>
      <c r="L198" s="186">
        <f t="shared" si="27"/>
        <v>91050710.132281706</v>
      </c>
      <c r="M198" s="194">
        <f t="shared" si="35"/>
        <v>-41320.096386427016</v>
      </c>
      <c r="N198" s="194" t="e">
        <f ca="1">+-VLOOKUP(D198,#REF!,3,0)*L197</f>
        <v>#REF!</v>
      </c>
      <c r="O198" s="194">
        <f t="shared" si="36"/>
        <v>-170190.67095</v>
      </c>
      <c r="P198" s="195">
        <f t="shared" si="37"/>
        <v>180</v>
      </c>
      <c r="Q198" s="198">
        <f t="shared" si="28"/>
        <v>-1579911.7662934416</v>
      </c>
    </row>
    <row r="199" spans="3:18" s="130" customFormat="1" x14ac:dyDescent="0.3">
      <c r="C199" s="189">
        <f t="shared" ref="C199:C258" ca="1" si="38">+VLOOKUP(E199,$A$18:$B$42,1,1)</f>
        <v>50725</v>
      </c>
      <c r="D199" s="190">
        <f t="shared" ref="D199:D258" ca="1" si="39">+VLOOKUP(C199,$A$18:$B$42,2,0)</f>
        <v>41</v>
      </c>
      <c r="E199" s="189">
        <f t="shared" ca="1" si="33"/>
        <v>51015</v>
      </c>
      <c r="F199" s="183" t="s">
        <v>212</v>
      </c>
      <c r="G199" s="183"/>
      <c r="H199" s="186">
        <f t="shared" si="31"/>
        <v>181</v>
      </c>
      <c r="I199" s="197">
        <f t="shared" si="34"/>
        <v>-1368400.9989570146</v>
      </c>
      <c r="J199" s="194">
        <f t="shared" si="26"/>
        <v>998959.35682606441</v>
      </c>
      <c r="K199" s="186">
        <f t="shared" si="32"/>
        <v>369441.64213095023</v>
      </c>
      <c r="L199" s="186">
        <f t="shared" si="27"/>
        <v>90681268.49015075</v>
      </c>
      <c r="M199" s="194">
        <f t="shared" si="35"/>
        <v>-41154.920979791328</v>
      </c>
      <c r="N199" s="194" t="e">
        <f ca="1">+-VLOOKUP(D199,#REF!,3,0)*L198</f>
        <v>#REF!</v>
      </c>
      <c r="O199" s="194">
        <f t="shared" si="36"/>
        <v>-170190.67095</v>
      </c>
      <c r="P199" s="195">
        <f t="shared" si="37"/>
        <v>181</v>
      </c>
      <c r="Q199" s="198">
        <f t="shared" si="28"/>
        <v>-1579746.5908868059</v>
      </c>
    </row>
    <row r="200" spans="3:18" s="130" customFormat="1" x14ac:dyDescent="0.3">
      <c r="C200" s="189">
        <f t="shared" ca="1" si="38"/>
        <v>50725</v>
      </c>
      <c r="D200" s="190">
        <f t="shared" ca="1" si="39"/>
        <v>41</v>
      </c>
      <c r="E200" s="189">
        <f t="shared" ca="1" si="33"/>
        <v>51045</v>
      </c>
      <c r="F200" s="183" t="s">
        <v>213</v>
      </c>
      <c r="G200" s="183"/>
      <c r="H200" s="186">
        <f t="shared" si="31"/>
        <v>182</v>
      </c>
      <c r="I200" s="197">
        <f t="shared" si="34"/>
        <v>-1368400.9989570146</v>
      </c>
      <c r="J200" s="194">
        <f t="shared" si="26"/>
        <v>994906.04208890616</v>
      </c>
      <c r="K200" s="186">
        <f t="shared" si="32"/>
        <v>373494.95686810848</v>
      </c>
      <c r="L200" s="186">
        <f t="shared" si="27"/>
        <v>90307773.533282638</v>
      </c>
      <c r="M200" s="194">
        <f t="shared" si="35"/>
        <v>-40987.933357548136</v>
      </c>
      <c r="N200" s="194" t="e">
        <f ca="1">+-VLOOKUP(D200,#REF!,3,0)*L199</f>
        <v>#REF!</v>
      </c>
      <c r="O200" s="194">
        <f t="shared" si="36"/>
        <v>-170190.67095</v>
      </c>
      <c r="P200" s="195">
        <f t="shared" si="37"/>
        <v>182</v>
      </c>
      <c r="Q200" s="198">
        <f t="shared" si="28"/>
        <v>-1579579.6032645628</v>
      </c>
    </row>
    <row r="201" spans="3:18" s="130" customFormat="1" x14ac:dyDescent="0.3">
      <c r="C201" s="189">
        <f t="shared" ca="1" si="38"/>
        <v>50725</v>
      </c>
      <c r="D201" s="190">
        <f t="shared" ca="1" si="39"/>
        <v>41</v>
      </c>
      <c r="E201" s="189">
        <f t="shared" ca="1" si="33"/>
        <v>51076</v>
      </c>
      <c r="F201" s="183" t="s">
        <v>214</v>
      </c>
      <c r="G201" s="183"/>
      <c r="H201" s="186">
        <f t="shared" si="31"/>
        <v>183</v>
      </c>
      <c r="I201" s="197">
        <f t="shared" si="34"/>
        <v>-1368400.9989570146</v>
      </c>
      <c r="J201" s="194">
        <f t="shared" si="26"/>
        <v>990808.25656533707</v>
      </c>
      <c r="K201" s="186">
        <f t="shared" si="32"/>
        <v>377592.74239167757</v>
      </c>
      <c r="L201" s="186">
        <f t="shared" si="27"/>
        <v>89930180.790890962</v>
      </c>
      <c r="M201" s="194">
        <f t="shared" si="35"/>
        <v>-40819.113637043753</v>
      </c>
      <c r="N201" s="194" t="e">
        <f ca="1">+-VLOOKUP(D201,#REF!,3,0)*L200</f>
        <v>#REF!</v>
      </c>
      <c r="O201" s="194">
        <f t="shared" si="36"/>
        <v>-170190.67095</v>
      </c>
      <c r="P201" s="195">
        <f t="shared" si="37"/>
        <v>183</v>
      </c>
      <c r="Q201" s="198">
        <f t="shared" si="28"/>
        <v>-1579410.7835440584</v>
      </c>
    </row>
    <row r="202" spans="3:18" s="130" customFormat="1" x14ac:dyDescent="0.3">
      <c r="C202" s="189">
        <f t="shared" ca="1" si="38"/>
        <v>51090</v>
      </c>
      <c r="D202" s="190">
        <f t="shared" ca="1" si="39"/>
        <v>42</v>
      </c>
      <c r="E202" s="189">
        <f t="shared" ca="1" si="33"/>
        <v>51106</v>
      </c>
      <c r="F202" s="183" t="s">
        <v>215</v>
      </c>
      <c r="G202" s="183"/>
      <c r="H202" s="186">
        <f t="shared" si="31"/>
        <v>184</v>
      </c>
      <c r="I202" s="197">
        <f t="shared" si="34"/>
        <v>-1368400.9989570146</v>
      </c>
      <c r="J202" s="194">
        <f t="shared" si="26"/>
        <v>986665.51234583824</v>
      </c>
      <c r="K202" s="186">
        <f t="shared" si="32"/>
        <v>381735.4866111764</v>
      </c>
      <c r="L202" s="186">
        <f t="shared" si="27"/>
        <v>89548445.304279789</v>
      </c>
      <c r="M202" s="194">
        <f t="shared" si="35"/>
        <v>-40648.44171748271</v>
      </c>
      <c r="N202" s="194" t="e">
        <f ca="1">+-VLOOKUP(D202,#REF!,3,0)*L201</f>
        <v>#REF!</v>
      </c>
      <c r="O202" s="194">
        <f t="shared" si="36"/>
        <v>-170190.67095</v>
      </c>
      <c r="P202" s="195">
        <f t="shared" si="37"/>
        <v>184</v>
      </c>
      <c r="Q202" s="198">
        <f t="shared" si="28"/>
        <v>-1579240.1116244972</v>
      </c>
    </row>
    <row r="203" spans="3:18" s="130" customFormat="1" x14ac:dyDescent="0.3">
      <c r="C203" s="189">
        <f t="shared" ca="1" si="38"/>
        <v>51090</v>
      </c>
      <c r="D203" s="190">
        <f t="shared" ca="1" si="39"/>
        <v>42</v>
      </c>
      <c r="E203" s="189">
        <f t="shared" ca="1" si="33"/>
        <v>51137</v>
      </c>
      <c r="F203" s="183" t="s">
        <v>216</v>
      </c>
      <c r="G203" s="183"/>
      <c r="H203" s="186">
        <f t="shared" si="31"/>
        <v>185</v>
      </c>
      <c r="I203" s="197">
        <f t="shared" si="34"/>
        <v>-1368400.9989570146</v>
      </c>
      <c r="J203" s="194">
        <f t="shared" si="26"/>
        <v>982477.31616780988</v>
      </c>
      <c r="K203" s="186">
        <f t="shared" si="32"/>
        <v>385923.68278920476</v>
      </c>
      <c r="L203" s="186">
        <f t="shared" si="27"/>
        <v>89162521.621490583</v>
      </c>
      <c r="M203" s="194">
        <f t="shared" si="35"/>
        <v>-40475.897277534466</v>
      </c>
      <c r="N203" s="194" t="e">
        <f ca="1">+-VLOOKUP(D203,#REF!,3,0)*L202</f>
        <v>#REF!</v>
      </c>
      <c r="O203" s="194">
        <f t="shared" si="36"/>
        <v>-170190.67095</v>
      </c>
      <c r="P203" s="195">
        <f t="shared" si="37"/>
        <v>185</v>
      </c>
      <c r="Q203" s="198">
        <f t="shared" si="28"/>
        <v>-1579067.5671845491</v>
      </c>
    </row>
    <row r="204" spans="3:18" s="130" customFormat="1" x14ac:dyDescent="0.3">
      <c r="C204" s="189">
        <f t="shared" ca="1" si="38"/>
        <v>51090</v>
      </c>
      <c r="D204" s="190">
        <f t="shared" ca="1" si="39"/>
        <v>42</v>
      </c>
      <c r="E204" s="189">
        <f t="shared" ca="1" si="33"/>
        <v>51168</v>
      </c>
      <c r="F204" s="183" t="s">
        <v>217</v>
      </c>
      <c r="G204" s="183"/>
      <c r="H204" s="186">
        <f t="shared" si="31"/>
        <v>186</v>
      </c>
      <c r="I204" s="197">
        <f t="shared" si="34"/>
        <v>-1368400.9989570146</v>
      </c>
      <c r="J204" s="194">
        <f t="shared" si="26"/>
        <v>978243.16935684101</v>
      </c>
      <c r="K204" s="186">
        <f t="shared" si="32"/>
        <v>390157.82960017363</v>
      </c>
      <c r="L204" s="186">
        <f t="shared" si="27"/>
        <v>88772363.791890413</v>
      </c>
      <c r="M204" s="194">
        <f t="shared" si="35"/>
        <v>-40301.459772913739</v>
      </c>
      <c r="N204" s="194" t="e">
        <f ca="1">+-VLOOKUP(D204,#REF!,3,0)*L203</f>
        <v>#REF!</v>
      </c>
      <c r="O204" s="194">
        <f t="shared" si="36"/>
        <v>-170190.67095</v>
      </c>
      <c r="P204" s="195">
        <f t="shared" si="37"/>
        <v>186</v>
      </c>
      <c r="Q204" s="198">
        <f t="shared" si="28"/>
        <v>-1578893.1296799283</v>
      </c>
    </row>
    <row r="205" spans="3:18" s="130" customFormat="1" x14ac:dyDescent="0.3">
      <c r="C205" s="189">
        <f t="shared" ca="1" si="38"/>
        <v>51090</v>
      </c>
      <c r="D205" s="190">
        <f t="shared" ca="1" si="39"/>
        <v>42</v>
      </c>
      <c r="E205" s="189">
        <f t="shared" ca="1" si="33"/>
        <v>51197</v>
      </c>
      <c r="F205" s="183" t="s">
        <v>218</v>
      </c>
      <c r="G205" s="183"/>
      <c r="H205" s="186">
        <f t="shared" si="31"/>
        <v>187</v>
      </c>
      <c r="I205" s="197">
        <f t="shared" si="34"/>
        <v>-1368400.9989570146</v>
      </c>
      <c r="J205" s="194">
        <f t="shared" si="26"/>
        <v>973962.56776733347</v>
      </c>
      <c r="K205" s="186">
        <f t="shared" si="32"/>
        <v>394438.43118968117</v>
      </c>
      <c r="L205" s="186">
        <f t="shared" si="27"/>
        <v>88377925.360700727</v>
      </c>
      <c r="M205" s="194">
        <f t="shared" si="35"/>
        <v>-40125.108433934467</v>
      </c>
      <c r="N205" s="194" t="e">
        <f ca="1">+-VLOOKUP(D205,#REF!,3,0)*L204</f>
        <v>#REF!</v>
      </c>
      <c r="O205" s="194">
        <f t="shared" si="36"/>
        <v>-170190.67095</v>
      </c>
      <c r="P205" s="195">
        <f t="shared" si="37"/>
        <v>187</v>
      </c>
      <c r="Q205" s="198">
        <f t="shared" si="28"/>
        <v>-1578716.778340949</v>
      </c>
    </row>
    <row r="206" spans="3:18" s="130" customFormat="1" x14ac:dyDescent="0.3">
      <c r="C206" s="189">
        <f t="shared" ca="1" si="38"/>
        <v>51090</v>
      </c>
      <c r="D206" s="190">
        <f t="shared" ca="1" si="39"/>
        <v>42</v>
      </c>
      <c r="E206" s="189">
        <f t="shared" ca="1" si="33"/>
        <v>51228</v>
      </c>
      <c r="F206" s="183" t="s">
        <v>219</v>
      </c>
      <c r="G206" s="183"/>
      <c r="H206" s="186">
        <f t="shared" si="31"/>
        <v>188</v>
      </c>
      <c r="I206" s="197">
        <f t="shared" si="34"/>
        <v>-1368400.9989570146</v>
      </c>
      <c r="J206" s="194">
        <f t="shared" si="26"/>
        <v>969635.00172247482</v>
      </c>
      <c r="K206" s="186">
        <f t="shared" si="32"/>
        <v>398765.99723453983</v>
      </c>
      <c r="L206" s="186">
        <f t="shared" si="27"/>
        <v>87979159.363466188</v>
      </c>
      <c r="M206" s="194">
        <f t="shared" si="35"/>
        <v>-39946.822263036724</v>
      </c>
      <c r="N206" s="194" t="e">
        <f ca="1">+-VLOOKUP(D206,#REF!,3,0)*L205</f>
        <v>#REF!</v>
      </c>
      <c r="O206" s="194">
        <f t="shared" si="36"/>
        <v>-170190.67095</v>
      </c>
      <c r="P206" s="195">
        <f t="shared" si="37"/>
        <v>188</v>
      </c>
      <c r="Q206" s="198">
        <f t="shared" si="28"/>
        <v>-1578538.4921700512</v>
      </c>
    </row>
    <row r="207" spans="3:18" s="130" customFormat="1" x14ac:dyDescent="0.3">
      <c r="C207" s="189">
        <f t="shared" ca="1" si="38"/>
        <v>51090</v>
      </c>
      <c r="D207" s="190">
        <f t="shared" ca="1" si="39"/>
        <v>42</v>
      </c>
      <c r="E207" s="189">
        <f t="shared" ca="1" si="33"/>
        <v>51258</v>
      </c>
      <c r="F207" s="183" t="s">
        <v>220</v>
      </c>
      <c r="G207" s="183"/>
      <c r="H207" s="186">
        <f t="shared" si="31"/>
        <v>189</v>
      </c>
      <c r="I207" s="197">
        <f t="shared" si="34"/>
        <v>-1368400.9989570146</v>
      </c>
      <c r="J207" s="194">
        <f t="shared" si="26"/>
        <v>965259.95595355355</v>
      </c>
      <c r="K207" s="186">
        <f t="shared" si="32"/>
        <v>403141.04300346109</v>
      </c>
      <c r="L207" s="186">
        <f t="shared" si="27"/>
        <v>87576018.320462734</v>
      </c>
      <c r="M207" s="194">
        <f t="shared" si="35"/>
        <v>-39766.580032286714</v>
      </c>
      <c r="N207" s="194" t="e">
        <f ca="1">+-VLOOKUP(D207,#REF!,3,0)*L206</f>
        <v>#REF!</v>
      </c>
      <c r="O207" s="194">
        <f t="shared" si="36"/>
        <v>-170190.67095</v>
      </c>
      <c r="P207" s="195">
        <f t="shared" si="37"/>
        <v>189</v>
      </c>
      <c r="Q207" s="198">
        <f t="shared" si="28"/>
        <v>-1578358.2499393013</v>
      </c>
    </row>
    <row r="208" spans="3:18" s="130" customFormat="1" x14ac:dyDescent="0.3">
      <c r="C208" s="189">
        <f t="shared" ca="1" si="38"/>
        <v>51090</v>
      </c>
      <c r="D208" s="190">
        <f t="shared" ca="1" si="39"/>
        <v>42</v>
      </c>
      <c r="E208" s="189">
        <f t="shared" ca="1" si="33"/>
        <v>51289</v>
      </c>
      <c r="F208" s="183" t="s">
        <v>221</v>
      </c>
      <c r="G208" s="183"/>
      <c r="H208" s="186">
        <f t="shared" si="31"/>
        <v>190</v>
      </c>
      <c r="I208" s="197">
        <f t="shared" si="34"/>
        <v>-1368400.9989570146</v>
      </c>
      <c r="J208" s="194">
        <f t="shared" si="26"/>
        <v>960836.909538607</v>
      </c>
      <c r="K208" s="186">
        <f t="shared" si="32"/>
        <v>407564.08941840765</v>
      </c>
      <c r="L208" s="186">
        <f t="shared" si="27"/>
        <v>87168454.231044322</v>
      </c>
      <c r="M208" s="194">
        <f t="shared" si="35"/>
        <v>-39584.360280849156</v>
      </c>
      <c r="N208" s="194" t="e">
        <f ca="1">+-VLOOKUP(D208,#REF!,3,0)*L207</f>
        <v>#REF!</v>
      </c>
      <c r="O208" s="194">
        <f t="shared" si="36"/>
        <v>-170190.67095</v>
      </c>
      <c r="P208" s="195">
        <f t="shared" si="37"/>
        <v>190</v>
      </c>
      <c r="Q208" s="198">
        <f t="shared" si="28"/>
        <v>-1578176.0301878636</v>
      </c>
    </row>
    <row r="209" spans="3:17" s="130" customFormat="1" x14ac:dyDescent="0.3">
      <c r="C209" s="189">
        <f t="shared" ca="1" si="38"/>
        <v>51090</v>
      </c>
      <c r="D209" s="190">
        <f t="shared" ca="1" si="39"/>
        <v>42</v>
      </c>
      <c r="E209" s="189">
        <f t="shared" ca="1" si="33"/>
        <v>51319</v>
      </c>
      <c r="F209" s="183" t="s">
        <v>222</v>
      </c>
      <c r="G209" s="183"/>
      <c r="H209" s="186">
        <f t="shared" si="31"/>
        <v>191</v>
      </c>
      <c r="I209" s="197">
        <f t="shared" si="34"/>
        <v>-1368400.9989570146</v>
      </c>
      <c r="J209" s="194">
        <f t="shared" si="26"/>
        <v>956365.3358403974</v>
      </c>
      <c r="K209" s="186">
        <f t="shared" si="32"/>
        <v>412035.66311661724</v>
      </c>
      <c r="L209" s="186">
        <f t="shared" si="27"/>
        <v>86756418.567927703</v>
      </c>
      <c r="M209" s="194">
        <f t="shared" si="35"/>
        <v>-39400.141312432032</v>
      </c>
      <c r="N209" s="194" t="e">
        <f ca="1">+-VLOOKUP(D209,#REF!,3,0)*L208</f>
        <v>#REF!</v>
      </c>
      <c r="O209" s="194">
        <f t="shared" si="36"/>
        <v>-170190.67095</v>
      </c>
      <c r="P209" s="195">
        <f t="shared" si="37"/>
        <v>191</v>
      </c>
      <c r="Q209" s="198">
        <f t="shared" si="28"/>
        <v>-1577991.8112194466</v>
      </c>
    </row>
    <row r="210" spans="3:17" s="130" customFormat="1" x14ac:dyDescent="0.3">
      <c r="C210" s="189">
        <f t="shared" ca="1" si="38"/>
        <v>51090</v>
      </c>
      <c r="D210" s="190">
        <f t="shared" ca="1" si="39"/>
        <v>42</v>
      </c>
      <c r="E210" s="189">
        <f t="shared" ca="1" si="33"/>
        <v>51350</v>
      </c>
      <c r="F210" s="183" t="s">
        <v>223</v>
      </c>
      <c r="G210" s="183"/>
      <c r="H210" s="186">
        <f t="shared" si="31"/>
        <v>192</v>
      </c>
      <c r="I210" s="197">
        <f t="shared" si="34"/>
        <v>-1368400.9989570146</v>
      </c>
      <c r="J210" s="194">
        <f t="shared" si="26"/>
        <v>951844.70244370692</v>
      </c>
      <c r="K210" s="186">
        <f t="shared" si="32"/>
        <v>416556.29651330772</v>
      </c>
      <c r="L210" s="186">
        <f t="shared" si="27"/>
        <v>86339862.271414399</v>
      </c>
      <c r="M210" s="194">
        <f t="shared" si="35"/>
        <v>-39213.901192703321</v>
      </c>
      <c r="N210" s="194" t="e">
        <f ca="1">+-VLOOKUP(D210,#REF!,3,0)*L209</f>
        <v>#REF!</v>
      </c>
      <c r="O210" s="194">
        <f t="shared" si="36"/>
        <v>-170190.67095</v>
      </c>
      <c r="P210" s="195">
        <f t="shared" si="37"/>
        <v>192</v>
      </c>
      <c r="Q210" s="198">
        <f t="shared" si="28"/>
        <v>-1577805.5710997179</v>
      </c>
    </row>
    <row r="211" spans="3:17" s="130" customFormat="1" x14ac:dyDescent="0.3">
      <c r="C211" s="189">
        <f t="shared" ca="1" si="38"/>
        <v>51090</v>
      </c>
      <c r="D211" s="190">
        <f t="shared" ca="1" si="39"/>
        <v>42</v>
      </c>
      <c r="E211" s="189">
        <f t="shared" ca="1" si="33"/>
        <v>51381</v>
      </c>
      <c r="F211" s="183" t="s">
        <v>224</v>
      </c>
      <c r="G211" s="183"/>
      <c r="H211" s="186">
        <f t="shared" si="31"/>
        <v>193</v>
      </c>
      <c r="I211" s="197">
        <f t="shared" si="34"/>
        <v>-1368400.9989570146</v>
      </c>
      <c r="J211" s="194">
        <f t="shared" ref="J211:J258" si="40">+IF(L210&gt;0,L210*$J$9,0)</f>
        <v>947274.47109194461</v>
      </c>
      <c r="K211" s="186">
        <f t="shared" si="32"/>
        <v>421126.52786507003</v>
      </c>
      <c r="L211" s="186">
        <f t="shared" ref="L211:L258" si="41">+L210-K211</f>
        <v>85918735.743549332</v>
      </c>
      <c r="M211" s="194">
        <f t="shared" si="35"/>
        <v>-39025.617746679309</v>
      </c>
      <c r="N211" s="194" t="e">
        <f ca="1">+-VLOOKUP(D211,#REF!,3,0)*L210</f>
        <v>#REF!</v>
      </c>
      <c r="O211" s="194">
        <f t="shared" si="36"/>
        <v>-170190.67095</v>
      </c>
      <c r="P211" s="195">
        <f t="shared" si="37"/>
        <v>193</v>
      </c>
      <c r="Q211" s="198">
        <f t="shared" ref="Q211:Q258" si="42">+I211+M211+O211</f>
        <v>-1577617.2876536939</v>
      </c>
    </row>
    <row r="212" spans="3:17" s="130" customFormat="1" x14ac:dyDescent="0.3">
      <c r="C212" s="189">
        <f t="shared" ca="1" si="38"/>
        <v>51090</v>
      </c>
      <c r="D212" s="190">
        <f t="shared" ca="1" si="39"/>
        <v>42</v>
      </c>
      <c r="E212" s="189">
        <f t="shared" ca="1" si="33"/>
        <v>51411</v>
      </c>
      <c r="F212" s="183" t="s">
        <v>225</v>
      </c>
      <c r="G212" s="183"/>
      <c r="H212" s="186">
        <f t="shared" ref="H212:H258" si="43">P212</f>
        <v>194</v>
      </c>
      <c r="I212" s="197">
        <f t="shared" si="34"/>
        <v>-1368400.9989570146</v>
      </c>
      <c r="J212" s="194">
        <f t="shared" si="40"/>
        <v>942654.09762305801</v>
      </c>
      <c r="K212" s="186">
        <f t="shared" ref="K212:K258" si="44">+IF(L211&gt;0,-I212-J212,0)</f>
        <v>425746.90133395663</v>
      </c>
      <c r="L212" s="186">
        <f t="shared" si="41"/>
        <v>85492988.842215374</v>
      </c>
      <c r="M212" s="194">
        <f t="shared" si="35"/>
        <v>-38835.268556084295</v>
      </c>
      <c r="N212" s="194" t="e">
        <f ca="1">+-VLOOKUP(D212,#REF!,3,0)*L211</f>
        <v>#REF!</v>
      </c>
      <c r="O212" s="194">
        <f t="shared" si="36"/>
        <v>-170190.67095</v>
      </c>
      <c r="P212" s="195">
        <f t="shared" si="37"/>
        <v>194</v>
      </c>
      <c r="Q212" s="198">
        <f t="shared" si="42"/>
        <v>-1577426.9384630988</v>
      </c>
    </row>
    <row r="213" spans="3:17" s="130" customFormat="1" x14ac:dyDescent="0.3">
      <c r="C213" s="189">
        <f t="shared" ca="1" si="38"/>
        <v>51090</v>
      </c>
      <c r="D213" s="190">
        <f t="shared" ca="1" si="39"/>
        <v>42</v>
      </c>
      <c r="E213" s="189">
        <f t="shared" ref="E213:E258" ca="1" si="45">+EDATE(E212,1)</f>
        <v>51442</v>
      </c>
      <c r="F213" s="183" t="s">
        <v>226</v>
      </c>
      <c r="G213" s="183"/>
      <c r="H213" s="186">
        <f t="shared" si="43"/>
        <v>195</v>
      </c>
      <c r="I213" s="197">
        <f t="shared" ref="I213:I258" si="46">+IF(L212&gt;0.1,I212,0)</f>
        <v>-1368400.9989570146</v>
      </c>
      <c r="J213" s="194">
        <f t="shared" si="40"/>
        <v>937983.03190474166</v>
      </c>
      <c r="K213" s="186">
        <f t="shared" si="44"/>
        <v>430417.96705227299</v>
      </c>
      <c r="L213" s="186">
        <f t="shared" si="41"/>
        <v>85062570.875163108</v>
      </c>
      <c r="M213" s="194">
        <f t="shared" ref="M213:M276" si="47">IF(H212&lt;=$J$7,(-L212*$J$10),0)</f>
        <v>-38642.830956681348</v>
      </c>
      <c r="N213" s="194" t="e">
        <f ca="1">+-VLOOKUP(D213,#REF!,3,0)*L212</f>
        <v>#REF!</v>
      </c>
      <c r="O213" s="194">
        <f t="shared" ref="O213:O276" si="48">IF(H212&lt;=$J$7,(-$J$5*$J$11),0)</f>
        <v>-170190.67095</v>
      </c>
      <c r="P213" s="195">
        <f t="shared" ref="P213:P276" si="49">+P212+1</f>
        <v>195</v>
      </c>
      <c r="Q213" s="198">
        <f t="shared" si="42"/>
        <v>-1577234.500863696</v>
      </c>
    </row>
    <row r="214" spans="3:17" s="130" customFormat="1" x14ac:dyDescent="0.3">
      <c r="C214" s="189">
        <f t="shared" ca="1" si="38"/>
        <v>51456</v>
      </c>
      <c r="D214" s="190">
        <f t="shared" ca="1" si="39"/>
        <v>43</v>
      </c>
      <c r="E214" s="189">
        <f t="shared" ca="1" si="45"/>
        <v>51472</v>
      </c>
      <c r="F214" s="183" t="s">
        <v>227</v>
      </c>
      <c r="G214" s="183"/>
      <c r="H214" s="186">
        <f t="shared" si="43"/>
        <v>196</v>
      </c>
      <c r="I214" s="197">
        <f t="shared" si="46"/>
        <v>-1368400.9989570146</v>
      </c>
      <c r="J214" s="194">
        <f t="shared" si="40"/>
        <v>933260.7177689349</v>
      </c>
      <c r="K214" s="186">
        <f t="shared" si="44"/>
        <v>435140.28118807974</v>
      </c>
      <c r="L214" s="186">
        <f t="shared" si="41"/>
        <v>84627430.593975022</v>
      </c>
      <c r="M214" s="194">
        <f t="shared" si="47"/>
        <v>-38448.28203557372</v>
      </c>
      <c r="N214" s="194" t="e">
        <f ca="1">+-VLOOKUP(D214,#REF!,3,0)*L213</f>
        <v>#REF!</v>
      </c>
      <c r="O214" s="194">
        <f t="shared" si="48"/>
        <v>-170190.67095</v>
      </c>
      <c r="P214" s="195">
        <f t="shared" si="49"/>
        <v>196</v>
      </c>
      <c r="Q214" s="198">
        <f t="shared" si="42"/>
        <v>-1577039.9519425882</v>
      </c>
    </row>
    <row r="215" spans="3:17" s="130" customFormat="1" x14ac:dyDescent="0.3">
      <c r="C215" s="189">
        <f t="shared" ca="1" si="38"/>
        <v>51456</v>
      </c>
      <c r="D215" s="190">
        <f t="shared" ca="1" si="39"/>
        <v>43</v>
      </c>
      <c r="E215" s="189">
        <f t="shared" ca="1" si="45"/>
        <v>51503</v>
      </c>
      <c r="F215" s="183" t="s">
        <v>228</v>
      </c>
      <c r="G215" s="183"/>
      <c r="H215" s="186">
        <f t="shared" si="43"/>
        <v>197</v>
      </c>
      <c r="I215" s="197">
        <f t="shared" si="46"/>
        <v>-1368400.9989570146</v>
      </c>
      <c r="J215" s="194">
        <f t="shared" si="40"/>
        <v>928486.59294560039</v>
      </c>
      <c r="K215" s="186">
        <f t="shared" si="44"/>
        <v>439914.40601141425</v>
      </c>
      <c r="L215" s="186">
        <f t="shared" si="41"/>
        <v>84187516.187963605</v>
      </c>
      <c r="M215" s="194">
        <f t="shared" si="47"/>
        <v>-38251.598628476706</v>
      </c>
      <c r="N215" s="194" t="e">
        <f ca="1">+-VLOOKUP(D215,#REF!,3,0)*L214</f>
        <v>#REF!</v>
      </c>
      <c r="O215" s="194">
        <f t="shared" si="48"/>
        <v>-170190.67095</v>
      </c>
      <c r="P215" s="195">
        <f t="shared" si="49"/>
        <v>197</v>
      </c>
      <c r="Q215" s="198">
        <f t="shared" si="42"/>
        <v>-1576843.2685354913</v>
      </c>
    </row>
    <row r="216" spans="3:17" s="130" customFormat="1" x14ac:dyDescent="0.3">
      <c r="C216" s="189">
        <f t="shared" ca="1" si="38"/>
        <v>51456</v>
      </c>
      <c r="D216" s="190">
        <f t="shared" ca="1" si="39"/>
        <v>43</v>
      </c>
      <c r="E216" s="189">
        <f t="shared" ca="1" si="45"/>
        <v>51534</v>
      </c>
      <c r="F216" s="183" t="s">
        <v>229</v>
      </c>
      <c r="G216" s="183"/>
      <c r="H216" s="186">
        <f t="shared" si="43"/>
        <v>198</v>
      </c>
      <c r="I216" s="197">
        <f t="shared" si="46"/>
        <v>-1368400.9989570146</v>
      </c>
      <c r="J216" s="194">
        <f t="shared" si="40"/>
        <v>923660.08899577695</v>
      </c>
      <c r="K216" s="186">
        <f t="shared" si="44"/>
        <v>444740.90996123769</v>
      </c>
      <c r="L216" s="186">
        <f t="shared" si="41"/>
        <v>83742775.278002366</v>
      </c>
      <c r="M216" s="194">
        <f t="shared" si="47"/>
        <v>-38052.757316959549</v>
      </c>
      <c r="N216" s="194" t="e">
        <f ca="1">+-VLOOKUP(D216,#REF!,3,0)*L215</f>
        <v>#REF!</v>
      </c>
      <c r="O216" s="194">
        <f t="shared" si="48"/>
        <v>-170190.67095</v>
      </c>
      <c r="P216" s="195">
        <f t="shared" si="49"/>
        <v>198</v>
      </c>
      <c r="Q216" s="198">
        <f t="shared" si="42"/>
        <v>-1576644.4272239741</v>
      </c>
    </row>
    <row r="217" spans="3:17" s="130" customFormat="1" x14ac:dyDescent="0.3">
      <c r="C217" s="189">
        <f t="shared" ca="1" si="38"/>
        <v>51456</v>
      </c>
      <c r="D217" s="190">
        <f t="shared" ca="1" si="39"/>
        <v>43</v>
      </c>
      <c r="E217" s="189">
        <f t="shared" ca="1" si="45"/>
        <v>51562</v>
      </c>
      <c r="F217" s="183" t="s">
        <v>230</v>
      </c>
      <c r="G217" s="183"/>
      <c r="H217" s="186">
        <f t="shared" si="43"/>
        <v>199</v>
      </c>
      <c r="I217" s="197">
        <f t="shared" si="46"/>
        <v>-1368400.9989570146</v>
      </c>
      <c r="J217" s="194">
        <f t="shared" si="40"/>
        <v>918780.63124389725</v>
      </c>
      <c r="K217" s="186">
        <f t="shared" si="44"/>
        <v>449620.36771311739</v>
      </c>
      <c r="L217" s="186">
        <f t="shared" si="41"/>
        <v>83293154.910289243</v>
      </c>
      <c r="M217" s="194">
        <f t="shared" si="47"/>
        <v>-37851.734425657065</v>
      </c>
      <c r="N217" s="194" t="e">
        <f ca="1">+-VLOOKUP(D217,#REF!,3,0)*L216</f>
        <v>#REF!</v>
      </c>
      <c r="O217" s="194">
        <f t="shared" si="48"/>
        <v>-170190.67095</v>
      </c>
      <c r="P217" s="195">
        <f t="shared" si="49"/>
        <v>199</v>
      </c>
      <c r="Q217" s="198">
        <f t="shared" si="42"/>
        <v>-1576443.4043326715</v>
      </c>
    </row>
    <row r="218" spans="3:17" s="130" customFormat="1" x14ac:dyDescent="0.3">
      <c r="C218" s="189">
        <f t="shared" ca="1" si="38"/>
        <v>51456</v>
      </c>
      <c r="D218" s="190">
        <f t="shared" ca="1" si="39"/>
        <v>43</v>
      </c>
      <c r="E218" s="189">
        <f t="shared" ca="1" si="45"/>
        <v>51593</v>
      </c>
      <c r="F218" s="183" t="s">
        <v>231</v>
      </c>
      <c r="G218" s="183"/>
      <c r="H218" s="186">
        <f t="shared" si="43"/>
        <v>200</v>
      </c>
      <c r="I218" s="197">
        <f t="shared" si="46"/>
        <v>-1368400.9989570146</v>
      </c>
      <c r="J218" s="194">
        <f t="shared" si="40"/>
        <v>913847.63870936283</v>
      </c>
      <c r="K218" s="186">
        <f t="shared" si="44"/>
        <v>454553.36024765181</v>
      </c>
      <c r="L218" s="186">
        <f t="shared" si="41"/>
        <v>82838601.550041586</v>
      </c>
      <c r="M218" s="194">
        <f t="shared" si="47"/>
        <v>-37648.506019450739</v>
      </c>
      <c r="N218" s="194" t="e">
        <f ca="1">+-VLOOKUP(D218,#REF!,3,0)*L217</f>
        <v>#REF!</v>
      </c>
      <c r="O218" s="194">
        <f t="shared" si="48"/>
        <v>-170190.67095</v>
      </c>
      <c r="P218" s="195">
        <f t="shared" si="49"/>
        <v>200</v>
      </c>
      <c r="Q218" s="198">
        <f t="shared" si="42"/>
        <v>-1576240.1759264653</v>
      </c>
    </row>
    <row r="219" spans="3:17" s="130" customFormat="1" x14ac:dyDescent="0.3">
      <c r="C219" s="189">
        <f t="shared" ca="1" si="38"/>
        <v>51456</v>
      </c>
      <c r="D219" s="190">
        <f t="shared" ca="1" si="39"/>
        <v>43</v>
      </c>
      <c r="E219" s="189">
        <f t="shared" ca="1" si="45"/>
        <v>51623</v>
      </c>
      <c r="F219" s="183" t="s">
        <v>232</v>
      </c>
      <c r="G219" s="183"/>
      <c r="H219" s="186">
        <f t="shared" si="43"/>
        <v>201</v>
      </c>
      <c r="I219" s="197">
        <f t="shared" si="46"/>
        <v>-1368400.9989570146</v>
      </c>
      <c r="J219" s="194">
        <f t="shared" si="40"/>
        <v>908860.52403736941</v>
      </c>
      <c r="K219" s="186">
        <f t="shared" si="44"/>
        <v>459540.47491964523</v>
      </c>
      <c r="L219" s="186">
        <f t="shared" si="41"/>
        <v>82379061.075121939</v>
      </c>
      <c r="M219" s="194">
        <f t="shared" si="47"/>
        <v>-37443.047900618796</v>
      </c>
      <c r="N219" s="194" t="e">
        <f ca="1">+-VLOOKUP(D219,#REF!,3,0)*L218</f>
        <v>#REF!</v>
      </c>
      <c r="O219" s="194">
        <f t="shared" si="48"/>
        <v>-170190.67095</v>
      </c>
      <c r="P219" s="195">
        <f t="shared" si="49"/>
        <v>201</v>
      </c>
      <c r="Q219" s="198">
        <f t="shared" si="42"/>
        <v>-1576034.7178076333</v>
      </c>
    </row>
    <row r="220" spans="3:17" s="130" customFormat="1" x14ac:dyDescent="0.3">
      <c r="C220" s="189">
        <f t="shared" ca="1" si="38"/>
        <v>51456</v>
      </c>
      <c r="D220" s="190">
        <f t="shared" ca="1" si="39"/>
        <v>43</v>
      </c>
      <c r="E220" s="189">
        <f t="shared" ca="1" si="45"/>
        <v>51654</v>
      </c>
      <c r="F220" s="183" t="s">
        <v>233</v>
      </c>
      <c r="G220" s="183"/>
      <c r="H220" s="186">
        <f t="shared" si="43"/>
        <v>202</v>
      </c>
      <c r="I220" s="197">
        <f t="shared" si="46"/>
        <v>-1368400.9989570146</v>
      </c>
      <c r="J220" s="194">
        <f t="shared" si="40"/>
        <v>903818.6934289718</v>
      </c>
      <c r="K220" s="186">
        <f t="shared" si="44"/>
        <v>464582.30552804284</v>
      </c>
      <c r="L220" s="186">
        <f t="shared" si="41"/>
        <v>81914478.769593894</v>
      </c>
      <c r="M220" s="194">
        <f t="shared" si="47"/>
        <v>-37235.335605955115</v>
      </c>
      <c r="N220" s="194" t="e">
        <f ca="1">+-VLOOKUP(D220,#REF!,3,0)*L219</f>
        <v>#REF!</v>
      </c>
      <c r="O220" s="194">
        <f t="shared" si="48"/>
        <v>-170190.67095</v>
      </c>
      <c r="P220" s="195">
        <f t="shared" si="49"/>
        <v>202</v>
      </c>
      <c r="Q220" s="198">
        <f t="shared" si="42"/>
        <v>-1575827.0055129698</v>
      </c>
    </row>
    <row r="221" spans="3:17" s="130" customFormat="1" x14ac:dyDescent="0.3">
      <c r="C221" s="189">
        <f t="shared" ca="1" si="38"/>
        <v>51456</v>
      </c>
      <c r="D221" s="190">
        <f t="shared" ca="1" si="39"/>
        <v>43</v>
      </c>
      <c r="E221" s="189">
        <f t="shared" ca="1" si="45"/>
        <v>51684</v>
      </c>
      <c r="F221" s="183" t="s">
        <v>234</v>
      </c>
      <c r="G221" s="183"/>
      <c r="H221" s="186">
        <f t="shared" si="43"/>
        <v>203</v>
      </c>
      <c r="I221" s="197">
        <f t="shared" si="46"/>
        <v>-1368400.9989570146</v>
      </c>
      <c r="J221" s="194">
        <f t="shared" si="40"/>
        <v>898721.54657038266</v>
      </c>
      <c r="K221" s="186">
        <f t="shared" si="44"/>
        <v>469679.45238663198</v>
      </c>
      <c r="L221" s="186">
        <f t="shared" si="41"/>
        <v>81444799.317207262</v>
      </c>
      <c r="M221" s="194">
        <f t="shared" si="47"/>
        <v>-37025.344403856441</v>
      </c>
      <c r="N221" s="194" t="e">
        <f ca="1">+-VLOOKUP(D221,#REF!,3,0)*L220</f>
        <v>#REF!</v>
      </c>
      <c r="O221" s="194">
        <f t="shared" si="48"/>
        <v>-170190.67095</v>
      </c>
      <c r="P221" s="195">
        <f t="shared" si="49"/>
        <v>203</v>
      </c>
      <c r="Q221" s="198">
        <f t="shared" si="42"/>
        <v>-1575617.014310871</v>
      </c>
    </row>
    <row r="222" spans="3:17" s="130" customFormat="1" x14ac:dyDescent="0.3">
      <c r="C222" s="189">
        <f t="shared" ca="1" si="38"/>
        <v>51456</v>
      </c>
      <c r="D222" s="190">
        <f t="shared" ca="1" si="39"/>
        <v>43</v>
      </c>
      <c r="E222" s="189">
        <f t="shared" ca="1" si="45"/>
        <v>51715</v>
      </c>
      <c r="F222" s="183" t="s">
        <v>235</v>
      </c>
      <c r="G222" s="183"/>
      <c r="H222" s="186">
        <f t="shared" si="43"/>
        <v>204</v>
      </c>
      <c r="I222" s="197">
        <f t="shared" si="46"/>
        <v>-1368400.9989570146</v>
      </c>
      <c r="J222" s="194">
        <f t="shared" si="40"/>
        <v>893568.47656149522</v>
      </c>
      <c r="K222" s="186">
        <f t="shared" si="44"/>
        <v>474832.52239551942</v>
      </c>
      <c r="L222" s="186">
        <f t="shared" si="41"/>
        <v>80969966.794811741</v>
      </c>
      <c r="M222" s="194">
        <f t="shared" si="47"/>
        <v>-36813.049291377683</v>
      </c>
      <c r="N222" s="194" t="e">
        <f ca="1">+-VLOOKUP(D222,#REF!,3,0)*L221</f>
        <v>#REF!</v>
      </c>
      <c r="O222" s="194">
        <f t="shared" si="48"/>
        <v>-170190.67095</v>
      </c>
      <c r="P222" s="195">
        <f t="shared" si="49"/>
        <v>204</v>
      </c>
      <c r="Q222" s="198">
        <f t="shared" si="42"/>
        <v>-1575404.7191983922</v>
      </c>
    </row>
    <row r="223" spans="3:17" s="130" customFormat="1" x14ac:dyDescent="0.3">
      <c r="C223" s="189">
        <f t="shared" ca="1" si="38"/>
        <v>51456</v>
      </c>
      <c r="D223" s="190">
        <f t="shared" ca="1" si="39"/>
        <v>43</v>
      </c>
      <c r="E223" s="189">
        <f t="shared" ca="1" si="45"/>
        <v>51746</v>
      </c>
      <c r="F223" s="183" t="s">
        <v>236</v>
      </c>
      <c r="G223" s="183"/>
      <c r="H223" s="186">
        <f t="shared" si="43"/>
        <v>205</v>
      </c>
      <c r="I223" s="197">
        <f t="shared" si="46"/>
        <v>-1368400.9989570146</v>
      </c>
      <c r="J223" s="194">
        <f t="shared" si="40"/>
        <v>888358.86984362127</v>
      </c>
      <c r="K223" s="186">
        <f t="shared" si="44"/>
        <v>480042.12911339337</v>
      </c>
      <c r="L223" s="186">
        <f t="shared" si="41"/>
        <v>80489924.665698349</v>
      </c>
      <c r="M223" s="194">
        <f t="shared" si="47"/>
        <v>-36598.424991254906</v>
      </c>
      <c r="N223" s="194" t="e">
        <f ca="1">+-VLOOKUP(D223,#REF!,3,0)*L222</f>
        <v>#REF!</v>
      </c>
      <c r="O223" s="194">
        <f t="shared" si="48"/>
        <v>-170190.67095</v>
      </c>
      <c r="P223" s="195">
        <f t="shared" si="49"/>
        <v>205</v>
      </c>
      <c r="Q223" s="198">
        <f t="shared" si="42"/>
        <v>-1575190.0948982695</v>
      </c>
    </row>
    <row r="224" spans="3:17" s="130" customFormat="1" x14ac:dyDescent="0.3">
      <c r="C224" s="189">
        <f t="shared" ca="1" si="38"/>
        <v>51456</v>
      </c>
      <c r="D224" s="190">
        <f t="shared" ca="1" si="39"/>
        <v>43</v>
      </c>
      <c r="E224" s="189">
        <f t="shared" ca="1" si="45"/>
        <v>51776</v>
      </c>
      <c r="F224" s="183" t="s">
        <v>237</v>
      </c>
      <c r="G224" s="183"/>
      <c r="H224" s="186">
        <f t="shared" si="43"/>
        <v>206</v>
      </c>
      <c r="I224" s="197">
        <f t="shared" si="46"/>
        <v>-1368400.9989570146</v>
      </c>
      <c r="J224" s="194">
        <f t="shared" si="40"/>
        <v>883092.10612643743</v>
      </c>
      <c r="K224" s="186">
        <f t="shared" si="44"/>
        <v>485308.89283057721</v>
      </c>
      <c r="L224" s="186">
        <f t="shared" si="41"/>
        <v>80004615.772867769</v>
      </c>
      <c r="M224" s="194">
        <f t="shared" si="47"/>
        <v>-36381.445948895649</v>
      </c>
      <c r="N224" s="194" t="e">
        <f ca="1">+-VLOOKUP(D224,#REF!,3,0)*L223</f>
        <v>#REF!</v>
      </c>
      <c r="O224" s="194">
        <f t="shared" si="48"/>
        <v>-170190.67095</v>
      </c>
      <c r="P224" s="195">
        <f t="shared" si="49"/>
        <v>206</v>
      </c>
      <c r="Q224" s="198">
        <f t="shared" si="42"/>
        <v>-1574973.1158559101</v>
      </c>
    </row>
    <row r="225" spans="3:17" s="130" customFormat="1" x14ac:dyDescent="0.3">
      <c r="C225" s="189">
        <f t="shared" ca="1" si="38"/>
        <v>51456</v>
      </c>
      <c r="D225" s="190">
        <f t="shared" ca="1" si="39"/>
        <v>43</v>
      </c>
      <c r="E225" s="189">
        <f t="shared" ca="1" si="45"/>
        <v>51807</v>
      </c>
      <c r="F225" s="183" t="s">
        <v>238</v>
      </c>
      <c r="G225" s="183"/>
      <c r="H225" s="186">
        <f t="shared" si="43"/>
        <v>207</v>
      </c>
      <c r="I225" s="197">
        <f t="shared" si="46"/>
        <v>-1368400.9989570146</v>
      </c>
      <c r="J225" s="194">
        <f t="shared" si="40"/>
        <v>877767.55831412855</v>
      </c>
      <c r="K225" s="186">
        <f t="shared" si="44"/>
        <v>490633.4406428861</v>
      </c>
      <c r="L225" s="186">
        <f t="shared" si="41"/>
        <v>79513982.332224876</v>
      </c>
      <c r="M225" s="194">
        <f t="shared" si="47"/>
        <v>-36162.086329336227</v>
      </c>
      <c r="N225" s="194" t="e">
        <f ca="1">+-VLOOKUP(D225,#REF!,3,0)*L224</f>
        <v>#REF!</v>
      </c>
      <c r="O225" s="194">
        <f t="shared" si="48"/>
        <v>-170190.67095</v>
      </c>
      <c r="P225" s="195">
        <f t="shared" si="49"/>
        <v>207</v>
      </c>
      <c r="Q225" s="198">
        <f t="shared" si="42"/>
        <v>-1574753.7562363509</v>
      </c>
    </row>
    <row r="226" spans="3:17" s="130" customFormat="1" x14ac:dyDescent="0.3">
      <c r="C226" s="189">
        <f t="shared" ca="1" si="38"/>
        <v>51821</v>
      </c>
      <c r="D226" s="190">
        <f t="shared" ca="1" si="39"/>
        <v>44</v>
      </c>
      <c r="E226" s="189">
        <f t="shared" ca="1" si="45"/>
        <v>51837</v>
      </c>
      <c r="F226" s="183" t="s">
        <v>239</v>
      </c>
      <c r="G226" s="183"/>
      <c r="H226" s="186">
        <f t="shared" si="43"/>
        <v>208</v>
      </c>
      <c r="I226" s="197">
        <f t="shared" si="46"/>
        <v>-1368400.9989570146</v>
      </c>
      <c r="J226" s="194">
        <f t="shared" si="40"/>
        <v>872384.59243072232</v>
      </c>
      <c r="K226" s="186">
        <f t="shared" si="44"/>
        <v>496016.40652629232</v>
      </c>
      <c r="L226" s="186">
        <f t="shared" si="41"/>
        <v>79017965.925698578</v>
      </c>
      <c r="M226" s="194">
        <f t="shared" si="47"/>
        <v>-35940.320014165642</v>
      </c>
      <c r="N226" s="194" t="e">
        <f ca="1">+-VLOOKUP(D226,#REF!,3,0)*L225</f>
        <v>#REF!</v>
      </c>
      <c r="O226" s="194">
        <f t="shared" si="48"/>
        <v>-170190.67095</v>
      </c>
      <c r="P226" s="195">
        <f t="shared" si="49"/>
        <v>208</v>
      </c>
      <c r="Q226" s="198">
        <f t="shared" si="42"/>
        <v>-1574531.9899211803</v>
      </c>
    </row>
    <row r="227" spans="3:17" s="130" customFormat="1" x14ac:dyDescent="0.3">
      <c r="C227" s="189">
        <f t="shared" ca="1" si="38"/>
        <v>51821</v>
      </c>
      <c r="D227" s="190">
        <f t="shared" ca="1" si="39"/>
        <v>44</v>
      </c>
      <c r="E227" s="189">
        <f t="shared" ca="1" si="45"/>
        <v>51868</v>
      </c>
      <c r="F227" s="183" t="s">
        <v>240</v>
      </c>
      <c r="G227" s="183"/>
      <c r="H227" s="186">
        <f t="shared" si="43"/>
        <v>209</v>
      </c>
      <c r="I227" s="197">
        <f t="shared" si="46"/>
        <v>-1368400.9989570146</v>
      </c>
      <c r="J227" s="194">
        <f t="shared" si="40"/>
        <v>866942.56754460325</v>
      </c>
      <c r="K227" s="186">
        <f t="shared" si="44"/>
        <v>501458.43141241139</v>
      </c>
      <c r="L227" s="186">
        <f t="shared" si="41"/>
        <v>78516507.494286165</v>
      </c>
      <c r="M227" s="194">
        <f t="shared" si="47"/>
        <v>-35716.120598415757</v>
      </c>
      <c r="N227" s="194" t="e">
        <f ca="1">+-VLOOKUP(D227,#REF!,3,0)*L226</f>
        <v>#REF!</v>
      </c>
      <c r="O227" s="194">
        <f t="shared" si="48"/>
        <v>-170190.67095</v>
      </c>
      <c r="P227" s="195">
        <f t="shared" si="49"/>
        <v>209</v>
      </c>
      <c r="Q227" s="198">
        <f t="shared" si="42"/>
        <v>-1574307.7905054304</v>
      </c>
    </row>
    <row r="228" spans="3:17" s="130" customFormat="1" x14ac:dyDescent="0.3">
      <c r="C228" s="189">
        <f t="shared" ca="1" si="38"/>
        <v>51821</v>
      </c>
      <c r="D228" s="190">
        <f t="shared" ca="1" si="39"/>
        <v>44</v>
      </c>
      <c r="E228" s="189">
        <f t="shared" ca="1" si="45"/>
        <v>51899</v>
      </c>
      <c r="F228" s="183" t="s">
        <v>241</v>
      </c>
      <c r="G228" s="183"/>
      <c r="H228" s="186">
        <f t="shared" si="43"/>
        <v>210</v>
      </c>
      <c r="I228" s="197">
        <f t="shared" si="46"/>
        <v>-1368400.9989570146</v>
      </c>
      <c r="J228" s="194">
        <f t="shared" si="40"/>
        <v>861440.83569219953</v>
      </c>
      <c r="K228" s="186">
        <f t="shared" si="44"/>
        <v>506960.16326481511</v>
      </c>
      <c r="L228" s="186">
        <f t="shared" si="41"/>
        <v>78009547.331021354</v>
      </c>
      <c r="M228" s="194">
        <f t="shared" si="47"/>
        <v>-35489.461387417345</v>
      </c>
      <c r="N228" s="194" t="e">
        <f ca="1">+-VLOOKUP(D228,#REF!,3,0)*L227</f>
        <v>#REF!</v>
      </c>
      <c r="O228" s="194">
        <f t="shared" si="48"/>
        <v>-170190.67095</v>
      </c>
      <c r="P228" s="195">
        <f t="shared" si="49"/>
        <v>210</v>
      </c>
      <c r="Q228" s="198">
        <f t="shared" si="42"/>
        <v>-1574081.1312944319</v>
      </c>
    </row>
    <row r="229" spans="3:17" s="130" customFormat="1" x14ac:dyDescent="0.3">
      <c r="C229" s="189">
        <f t="shared" ca="1" si="38"/>
        <v>51821</v>
      </c>
      <c r="D229" s="190">
        <f t="shared" ca="1" si="39"/>
        <v>44</v>
      </c>
      <c r="E229" s="189">
        <f t="shared" ca="1" si="45"/>
        <v>51927</v>
      </c>
      <c r="F229" s="183" t="s">
        <v>242</v>
      </c>
      <c r="G229" s="183"/>
      <c r="H229" s="186">
        <f t="shared" si="43"/>
        <v>211</v>
      </c>
      <c r="I229" s="197">
        <f t="shared" si="46"/>
        <v>-1368400.9989570146</v>
      </c>
      <c r="J229" s="194">
        <f t="shared" si="40"/>
        <v>855878.74180083186</v>
      </c>
      <c r="K229" s="186">
        <f t="shared" si="44"/>
        <v>512522.25715618278</v>
      </c>
      <c r="L229" s="186">
        <f t="shared" si="41"/>
        <v>77497025.073865175</v>
      </c>
      <c r="M229" s="194">
        <f t="shared" si="47"/>
        <v>-35260.315393621648</v>
      </c>
      <c r="N229" s="194" t="e">
        <f ca="1">+-VLOOKUP(D229,#REF!,3,0)*L228</f>
        <v>#REF!</v>
      </c>
      <c r="O229" s="194">
        <f t="shared" si="48"/>
        <v>-170190.67095</v>
      </c>
      <c r="P229" s="195">
        <f t="shared" si="49"/>
        <v>211</v>
      </c>
      <c r="Q229" s="198">
        <f t="shared" si="42"/>
        <v>-1573851.9853006362</v>
      </c>
    </row>
    <row r="230" spans="3:17" s="130" customFormat="1" x14ac:dyDescent="0.3">
      <c r="C230" s="189">
        <f t="shared" ca="1" si="38"/>
        <v>51821</v>
      </c>
      <c r="D230" s="190">
        <f t="shared" ca="1" si="39"/>
        <v>44</v>
      </c>
      <c r="E230" s="189">
        <f t="shared" ca="1" si="45"/>
        <v>51958</v>
      </c>
      <c r="F230" s="183" t="s">
        <v>243</v>
      </c>
      <c r="G230" s="183"/>
      <c r="H230" s="186">
        <f t="shared" si="43"/>
        <v>212</v>
      </c>
      <c r="I230" s="197">
        <f t="shared" si="46"/>
        <v>-1368400.9989570146</v>
      </c>
      <c r="J230" s="194">
        <f t="shared" si="40"/>
        <v>850255.62361071631</v>
      </c>
      <c r="K230" s="186">
        <f t="shared" si="44"/>
        <v>518145.37534629833</v>
      </c>
      <c r="L230" s="186">
        <f t="shared" si="41"/>
        <v>76978879.698518872</v>
      </c>
      <c r="M230" s="194">
        <f t="shared" si="47"/>
        <v>-35028.655333387054</v>
      </c>
      <c r="N230" s="194" t="e">
        <f ca="1">+-VLOOKUP(D230,#REF!,3,0)*L229</f>
        <v>#REF!</v>
      </c>
      <c r="O230" s="194">
        <f t="shared" si="48"/>
        <v>-170190.67095</v>
      </c>
      <c r="P230" s="195">
        <f t="shared" si="49"/>
        <v>212</v>
      </c>
      <c r="Q230" s="198">
        <f t="shared" si="42"/>
        <v>-1573620.3252404016</v>
      </c>
    </row>
    <row r="231" spans="3:17" s="130" customFormat="1" x14ac:dyDescent="0.3">
      <c r="C231" s="189">
        <f t="shared" ca="1" si="38"/>
        <v>51821</v>
      </c>
      <c r="D231" s="190">
        <f t="shared" ca="1" si="39"/>
        <v>44</v>
      </c>
      <c r="E231" s="189">
        <f t="shared" ca="1" si="45"/>
        <v>51988</v>
      </c>
      <c r="F231" s="183" t="s">
        <v>244</v>
      </c>
      <c r="G231" s="183"/>
      <c r="H231" s="186">
        <f t="shared" si="43"/>
        <v>213</v>
      </c>
      <c r="I231" s="197">
        <f t="shared" si="46"/>
        <v>-1368400.9989570146</v>
      </c>
      <c r="J231" s="194">
        <f t="shared" si="40"/>
        <v>844570.81159611093</v>
      </c>
      <c r="K231" s="186">
        <f t="shared" si="44"/>
        <v>523830.18736090371</v>
      </c>
      <c r="L231" s="186">
        <f t="shared" si="41"/>
        <v>76455049.511157975</v>
      </c>
      <c r="M231" s="194">
        <f t="shared" si="47"/>
        <v>-34794.453623730529</v>
      </c>
      <c r="N231" s="194" t="e">
        <f ca="1">+-VLOOKUP(D231,#REF!,3,0)*L230</f>
        <v>#REF!</v>
      </c>
      <c r="O231" s="194">
        <f t="shared" si="48"/>
        <v>-170190.67095</v>
      </c>
      <c r="P231" s="195">
        <f t="shared" si="49"/>
        <v>213</v>
      </c>
      <c r="Q231" s="198">
        <f t="shared" si="42"/>
        <v>-1573386.123530745</v>
      </c>
    </row>
    <row r="232" spans="3:17" s="130" customFormat="1" x14ac:dyDescent="0.3">
      <c r="C232" s="189">
        <f t="shared" ca="1" si="38"/>
        <v>51821</v>
      </c>
      <c r="D232" s="190">
        <f t="shared" ca="1" si="39"/>
        <v>44</v>
      </c>
      <c r="E232" s="189">
        <f t="shared" ca="1" si="45"/>
        <v>52019</v>
      </c>
      <c r="F232" s="183" t="s">
        <v>245</v>
      </c>
      <c r="G232" s="183"/>
      <c r="H232" s="186">
        <f t="shared" si="43"/>
        <v>214</v>
      </c>
      <c r="I232" s="197">
        <f t="shared" si="46"/>
        <v>-1368400.9989570146</v>
      </c>
      <c r="J232" s="194">
        <f t="shared" si="40"/>
        <v>838823.62888559862</v>
      </c>
      <c r="K232" s="186">
        <f t="shared" si="44"/>
        <v>529577.37007141602</v>
      </c>
      <c r="L232" s="186">
        <f t="shared" si="41"/>
        <v>75925472.141086563</v>
      </c>
      <c r="M232" s="194">
        <f t="shared" si="47"/>
        <v>-34557.682379043406</v>
      </c>
      <c r="N232" s="194" t="e">
        <f ca="1">+-VLOOKUP(D232,#REF!,3,0)*L231</f>
        <v>#REF!</v>
      </c>
      <c r="O232" s="194">
        <f t="shared" si="48"/>
        <v>-170190.67095</v>
      </c>
      <c r="P232" s="195">
        <f t="shared" si="49"/>
        <v>214</v>
      </c>
      <c r="Q232" s="198">
        <f t="shared" si="42"/>
        <v>-1573149.352286058</v>
      </c>
    </row>
    <row r="233" spans="3:17" s="130" customFormat="1" x14ac:dyDescent="0.3">
      <c r="C233" s="189">
        <f t="shared" ca="1" si="38"/>
        <v>51821</v>
      </c>
      <c r="D233" s="190">
        <f t="shared" ca="1" si="39"/>
        <v>44</v>
      </c>
      <c r="E233" s="189">
        <f t="shared" ca="1" si="45"/>
        <v>52049</v>
      </c>
      <c r="F233" s="183" t="s">
        <v>246</v>
      </c>
      <c r="G233" s="183"/>
      <c r="H233" s="186">
        <f t="shared" si="43"/>
        <v>215</v>
      </c>
      <c r="I233" s="197">
        <f t="shared" si="46"/>
        <v>-1368400.9989570146</v>
      </c>
      <c r="J233" s="194">
        <f t="shared" si="40"/>
        <v>833013.39118149295</v>
      </c>
      <c r="K233" s="186">
        <f t="shared" si="44"/>
        <v>535387.6077755217</v>
      </c>
      <c r="L233" s="186">
        <f t="shared" si="41"/>
        <v>75390084.533311039</v>
      </c>
      <c r="M233" s="194">
        <f t="shared" si="47"/>
        <v>-34318.313407771122</v>
      </c>
      <c r="N233" s="194" t="e">
        <f ca="1">+-VLOOKUP(D233,#REF!,3,0)*L232</f>
        <v>#REF!</v>
      </c>
      <c r="O233" s="194">
        <f t="shared" si="48"/>
        <v>-170190.67095</v>
      </c>
      <c r="P233" s="195">
        <f t="shared" si="49"/>
        <v>215</v>
      </c>
      <c r="Q233" s="198">
        <f t="shared" si="42"/>
        <v>-1572909.9833147856</v>
      </c>
    </row>
    <row r="234" spans="3:17" s="130" customFormat="1" x14ac:dyDescent="0.3">
      <c r="C234" s="189">
        <f t="shared" ca="1" si="38"/>
        <v>51821</v>
      </c>
      <c r="D234" s="190">
        <f t="shared" ca="1" si="39"/>
        <v>44</v>
      </c>
      <c r="E234" s="189">
        <f t="shared" ca="1" si="45"/>
        <v>52080</v>
      </c>
      <c r="F234" s="183" t="s">
        <v>247</v>
      </c>
      <c r="G234" s="183"/>
      <c r="H234" s="186">
        <f t="shared" si="43"/>
        <v>216</v>
      </c>
      <c r="I234" s="197">
        <f t="shared" si="46"/>
        <v>-1368400.9989570146</v>
      </c>
      <c r="J234" s="194">
        <f t="shared" si="40"/>
        <v>827139.40667836217</v>
      </c>
      <c r="K234" s="186">
        <f t="shared" si="44"/>
        <v>541261.59227865248</v>
      </c>
      <c r="L234" s="186">
        <f t="shared" si="41"/>
        <v>74848822.94103238</v>
      </c>
      <c r="M234" s="194">
        <f t="shared" si="47"/>
        <v>-34076.31820905659</v>
      </c>
      <c r="N234" s="194" t="e">
        <f ca="1">+-VLOOKUP(D234,#REF!,3,0)*L233</f>
        <v>#REF!</v>
      </c>
      <c r="O234" s="194">
        <f t="shared" si="48"/>
        <v>-170190.67095</v>
      </c>
      <c r="P234" s="195">
        <f t="shared" si="49"/>
        <v>216</v>
      </c>
      <c r="Q234" s="198">
        <f t="shared" si="42"/>
        <v>-1572667.9881160711</v>
      </c>
    </row>
    <row r="235" spans="3:17" s="130" customFormat="1" x14ac:dyDescent="0.3">
      <c r="C235" s="189">
        <f t="shared" ca="1" si="38"/>
        <v>51821</v>
      </c>
      <c r="D235" s="190">
        <f t="shared" ca="1" si="39"/>
        <v>44</v>
      </c>
      <c r="E235" s="189">
        <f t="shared" ca="1" si="45"/>
        <v>52111</v>
      </c>
      <c r="F235" s="183" t="s">
        <v>248</v>
      </c>
      <c r="G235" s="183"/>
      <c r="H235" s="186">
        <f t="shared" si="43"/>
        <v>217</v>
      </c>
      <c r="I235" s="197">
        <f t="shared" si="46"/>
        <v>-1368400.9989570146</v>
      </c>
      <c r="J235" s="194">
        <f t="shared" si="40"/>
        <v>821200.97598065762</v>
      </c>
      <c r="K235" s="186">
        <f t="shared" si="44"/>
        <v>547200.02297635702</v>
      </c>
      <c r="L235" s="186">
        <f t="shared" si="41"/>
        <v>74301622.918056026</v>
      </c>
      <c r="M235" s="194">
        <f t="shared" si="47"/>
        <v>-33831.667969346636</v>
      </c>
      <c r="N235" s="194" t="e">
        <f ca="1">+-VLOOKUP(D235,#REF!,3,0)*L234</f>
        <v>#REF!</v>
      </c>
      <c r="O235" s="194">
        <f t="shared" si="48"/>
        <v>-170190.67095</v>
      </c>
      <c r="P235" s="195">
        <f t="shared" si="49"/>
        <v>217</v>
      </c>
      <c r="Q235" s="198">
        <f t="shared" si="42"/>
        <v>-1572423.3378763613</v>
      </c>
    </row>
    <row r="236" spans="3:17" s="130" customFormat="1" x14ac:dyDescent="0.3">
      <c r="C236" s="189">
        <f t="shared" ca="1" si="38"/>
        <v>51821</v>
      </c>
      <c r="D236" s="190">
        <f t="shared" ca="1" si="39"/>
        <v>44</v>
      </c>
      <c r="E236" s="189">
        <f t="shared" ca="1" si="45"/>
        <v>52141</v>
      </c>
      <c r="F236" s="183" t="s">
        <v>249</v>
      </c>
      <c r="G236" s="183"/>
      <c r="H236" s="186">
        <f t="shared" si="43"/>
        <v>218</v>
      </c>
      <c r="I236" s="197">
        <f t="shared" si="46"/>
        <v>-1368400.9989570146</v>
      </c>
      <c r="J236" s="194">
        <f t="shared" si="40"/>
        <v>815197.39201943972</v>
      </c>
      <c r="K236" s="186">
        <f t="shared" si="44"/>
        <v>553203.60693757492</v>
      </c>
      <c r="L236" s="186">
        <f t="shared" si="41"/>
        <v>73748419.311118454</v>
      </c>
      <c r="M236" s="194">
        <f t="shared" si="47"/>
        <v>-33584.33355896132</v>
      </c>
      <c r="N236" s="194" t="e">
        <f ca="1">+-VLOOKUP(D236,#REF!,3,0)*L235</f>
        <v>#REF!</v>
      </c>
      <c r="O236" s="194">
        <f t="shared" si="48"/>
        <v>-170190.67095</v>
      </c>
      <c r="P236" s="195">
        <f t="shared" si="49"/>
        <v>218</v>
      </c>
      <c r="Q236" s="198">
        <f t="shared" si="42"/>
        <v>-1572176.0034659759</v>
      </c>
    </row>
    <row r="237" spans="3:17" s="130" customFormat="1" x14ac:dyDescent="0.3">
      <c r="C237" s="189">
        <f t="shared" ca="1" si="38"/>
        <v>51821</v>
      </c>
      <c r="D237" s="190">
        <f t="shared" ca="1" si="39"/>
        <v>44</v>
      </c>
      <c r="E237" s="189">
        <f t="shared" ca="1" si="45"/>
        <v>52172</v>
      </c>
      <c r="F237" s="183" t="s">
        <v>250</v>
      </c>
      <c r="G237" s="183"/>
      <c r="H237" s="186">
        <f t="shared" si="43"/>
        <v>219</v>
      </c>
      <c r="I237" s="197">
        <f t="shared" si="46"/>
        <v>-1368400.9989570146</v>
      </c>
      <c r="J237" s="194">
        <f t="shared" si="40"/>
        <v>809127.93996818888</v>
      </c>
      <c r="K237" s="186">
        <f t="shared" si="44"/>
        <v>559273.05898882577</v>
      </c>
      <c r="L237" s="186">
        <f t="shared" si="41"/>
        <v>73189146.252129629</v>
      </c>
      <c r="M237" s="194">
        <f t="shared" si="47"/>
        <v>-33334.285528625536</v>
      </c>
      <c r="N237" s="194" t="e">
        <f ca="1">+-VLOOKUP(D237,#REF!,3,0)*L236</f>
        <v>#REF!</v>
      </c>
      <c r="O237" s="194">
        <f t="shared" si="48"/>
        <v>-170190.67095</v>
      </c>
      <c r="P237" s="195">
        <f t="shared" si="49"/>
        <v>219</v>
      </c>
      <c r="Q237" s="198">
        <f t="shared" si="42"/>
        <v>-1571925.9554356402</v>
      </c>
    </row>
    <row r="238" spans="3:17" s="130" customFormat="1" x14ac:dyDescent="0.3">
      <c r="C238" s="189">
        <f t="shared" ca="1" si="38"/>
        <v>52186</v>
      </c>
      <c r="D238" s="190">
        <f t="shared" ca="1" si="39"/>
        <v>45</v>
      </c>
      <c r="E238" s="189">
        <f t="shared" ca="1" si="45"/>
        <v>52202</v>
      </c>
      <c r="F238" s="183" t="s">
        <v>251</v>
      </c>
      <c r="G238" s="183"/>
      <c r="H238" s="186">
        <f t="shared" si="43"/>
        <v>220</v>
      </c>
      <c r="I238" s="197">
        <f t="shared" si="46"/>
        <v>-1368400.9989570146</v>
      </c>
      <c r="J238" s="194">
        <f t="shared" si="40"/>
        <v>802991.89715769421</v>
      </c>
      <c r="K238" s="186">
        <f t="shared" si="44"/>
        <v>565409.10179932043</v>
      </c>
      <c r="L238" s="186">
        <f t="shared" si="41"/>
        <v>72623737.150330305</v>
      </c>
      <c r="M238" s="194">
        <f t="shared" si="47"/>
        <v>-33081.494105962593</v>
      </c>
      <c r="N238" s="194" t="e">
        <f ca="1">+-VLOOKUP(D238,#REF!,3,0)*L237</f>
        <v>#REF!</v>
      </c>
      <c r="O238" s="194">
        <f t="shared" si="48"/>
        <v>-170190.67095</v>
      </c>
      <c r="P238" s="195">
        <f t="shared" si="49"/>
        <v>220</v>
      </c>
      <c r="Q238" s="198">
        <f t="shared" si="42"/>
        <v>-1571673.1640129772</v>
      </c>
    </row>
    <row r="239" spans="3:17" s="130" customFormat="1" x14ac:dyDescent="0.3">
      <c r="C239" s="189">
        <f t="shared" ca="1" si="38"/>
        <v>52186</v>
      </c>
      <c r="D239" s="190">
        <f t="shared" ca="1" si="39"/>
        <v>45</v>
      </c>
      <c r="E239" s="189">
        <f t="shared" ca="1" si="45"/>
        <v>52233</v>
      </c>
      <c r="F239" s="183" t="s">
        <v>252</v>
      </c>
      <c r="G239" s="183"/>
      <c r="H239" s="186">
        <f t="shared" si="43"/>
        <v>221</v>
      </c>
      <c r="I239" s="197">
        <f t="shared" si="46"/>
        <v>-1368400.9989570146</v>
      </c>
      <c r="J239" s="194">
        <f t="shared" si="40"/>
        <v>796788.5329900072</v>
      </c>
      <c r="K239" s="186">
        <f t="shared" si="44"/>
        <v>571612.46596700745</v>
      </c>
      <c r="L239" s="186">
        <f t="shared" si="41"/>
        <v>72052124.684363291</v>
      </c>
      <c r="M239" s="194">
        <f t="shared" si="47"/>
        <v>-32825.929191949297</v>
      </c>
      <c r="N239" s="194" t="e">
        <f ca="1">+-VLOOKUP(D239,#REF!,3,0)*L238</f>
        <v>#REF!</v>
      </c>
      <c r="O239" s="194">
        <f t="shared" si="48"/>
        <v>-170190.67095</v>
      </c>
      <c r="P239" s="195">
        <f t="shared" si="49"/>
        <v>221</v>
      </c>
      <c r="Q239" s="198">
        <f t="shared" si="42"/>
        <v>-1571417.5990989639</v>
      </c>
    </row>
    <row r="240" spans="3:17" s="130" customFormat="1" x14ac:dyDescent="0.3">
      <c r="C240" s="189">
        <f t="shared" ca="1" si="38"/>
        <v>52186</v>
      </c>
      <c r="D240" s="190">
        <f t="shared" ca="1" si="39"/>
        <v>45</v>
      </c>
      <c r="E240" s="189">
        <f t="shared" ca="1" si="45"/>
        <v>52264</v>
      </c>
      <c r="F240" s="183" t="s">
        <v>253</v>
      </c>
      <c r="G240" s="183"/>
      <c r="H240" s="186">
        <f t="shared" si="43"/>
        <v>222</v>
      </c>
      <c r="I240" s="197">
        <f t="shared" si="46"/>
        <v>-1368400.9989570146</v>
      </c>
      <c r="J240" s="194">
        <f t="shared" si="40"/>
        <v>790517.10885145213</v>
      </c>
      <c r="K240" s="186">
        <f t="shared" si="44"/>
        <v>577883.89010556252</v>
      </c>
      <c r="L240" s="186">
        <f t="shared" si="41"/>
        <v>71474240.79425773</v>
      </c>
      <c r="M240" s="194">
        <f t="shared" si="47"/>
        <v>-32567.560357332208</v>
      </c>
      <c r="N240" s="194" t="e">
        <f ca="1">+-VLOOKUP(D240,#REF!,3,0)*L239</f>
        <v>#REF!</v>
      </c>
      <c r="O240" s="194">
        <f t="shared" si="48"/>
        <v>-170190.67095</v>
      </c>
      <c r="P240" s="195">
        <f t="shared" si="49"/>
        <v>222</v>
      </c>
      <c r="Q240" s="198">
        <f t="shared" si="42"/>
        <v>-1571159.2302643468</v>
      </c>
    </row>
    <row r="241" spans="3:17" s="130" customFormat="1" x14ac:dyDescent="0.3">
      <c r="C241" s="189">
        <f t="shared" ca="1" si="38"/>
        <v>52186</v>
      </c>
      <c r="D241" s="190">
        <f t="shared" ca="1" si="39"/>
        <v>45</v>
      </c>
      <c r="E241" s="189">
        <f t="shared" ca="1" si="45"/>
        <v>52292</v>
      </c>
      <c r="F241" s="183" t="s">
        <v>254</v>
      </c>
      <c r="G241" s="183"/>
      <c r="H241" s="186">
        <f t="shared" si="43"/>
        <v>223</v>
      </c>
      <c r="I241" s="197">
        <f t="shared" si="46"/>
        <v>-1368400.9989570146</v>
      </c>
      <c r="J241" s="194">
        <f t="shared" si="40"/>
        <v>784176.87802468217</v>
      </c>
      <c r="K241" s="186">
        <f t="shared" si="44"/>
        <v>584224.12093233247</v>
      </c>
      <c r="L241" s="186">
        <f t="shared" si="41"/>
        <v>70890016.673325405</v>
      </c>
      <c r="M241" s="194">
        <f t="shared" si="47"/>
        <v>-32306.356839004493</v>
      </c>
      <c r="N241" s="194" t="e">
        <f ca="1">+-VLOOKUP(D241,#REF!,3,0)*L240</f>
        <v>#REF!</v>
      </c>
      <c r="O241" s="194">
        <f t="shared" si="48"/>
        <v>-170190.67095</v>
      </c>
      <c r="P241" s="195">
        <f t="shared" si="49"/>
        <v>223</v>
      </c>
      <c r="Q241" s="198">
        <f t="shared" si="42"/>
        <v>-1570898.026746019</v>
      </c>
    </row>
    <row r="242" spans="3:17" s="130" customFormat="1" x14ac:dyDescent="0.3">
      <c r="C242" s="189">
        <f t="shared" ca="1" si="38"/>
        <v>52186</v>
      </c>
      <c r="D242" s="190">
        <f t="shared" ca="1" si="39"/>
        <v>45</v>
      </c>
      <c r="E242" s="189">
        <f t="shared" ca="1" si="45"/>
        <v>52323</v>
      </c>
      <c r="F242" s="183" t="s">
        <v>255</v>
      </c>
      <c r="G242" s="183"/>
      <c r="H242" s="186">
        <f t="shared" si="43"/>
        <v>224</v>
      </c>
      <c r="I242" s="197">
        <f t="shared" si="46"/>
        <v>-1368400.9989570146</v>
      </c>
      <c r="J242" s="194">
        <f t="shared" si="40"/>
        <v>777767.08559976937</v>
      </c>
      <c r="K242" s="186">
        <f t="shared" si="44"/>
        <v>590633.91335724527</v>
      </c>
      <c r="L242" s="186">
        <f t="shared" si="41"/>
        <v>70299382.759968162</v>
      </c>
      <c r="M242" s="194">
        <f t="shared" si="47"/>
        <v>-32042.287536343083</v>
      </c>
      <c r="N242" s="194" t="e">
        <f ca="1">+-VLOOKUP(D242,#REF!,3,0)*L241</f>
        <v>#REF!</v>
      </c>
      <c r="O242" s="194">
        <f t="shared" si="48"/>
        <v>-170190.67095</v>
      </c>
      <c r="P242" s="195">
        <f t="shared" si="49"/>
        <v>224</v>
      </c>
      <c r="Q242" s="198">
        <f t="shared" si="42"/>
        <v>-1570633.9574433577</v>
      </c>
    </row>
    <row r="243" spans="3:17" s="130" customFormat="1" x14ac:dyDescent="0.3">
      <c r="C243" s="189">
        <f t="shared" ca="1" si="38"/>
        <v>52186</v>
      </c>
      <c r="D243" s="190">
        <f t="shared" ca="1" si="39"/>
        <v>45</v>
      </c>
      <c r="E243" s="189">
        <f t="shared" ca="1" si="45"/>
        <v>52353</v>
      </c>
      <c r="F243" s="183" t="s">
        <v>256</v>
      </c>
      <c r="G243" s="183"/>
      <c r="H243" s="186">
        <f t="shared" si="43"/>
        <v>225</v>
      </c>
      <c r="I243" s="197">
        <f t="shared" si="46"/>
        <v>-1368400.9989570146</v>
      </c>
      <c r="J243" s="194">
        <f t="shared" si="40"/>
        <v>771286.96838432085</v>
      </c>
      <c r="K243" s="186">
        <f t="shared" si="44"/>
        <v>597114.03057269379</v>
      </c>
      <c r="L243" s="186">
        <f t="shared" si="41"/>
        <v>69702268.729395464</v>
      </c>
      <c r="M243" s="194">
        <f t="shared" si="47"/>
        <v>-31775.321007505609</v>
      </c>
      <c r="N243" s="194" t="e">
        <f ca="1">+-VLOOKUP(D243,#REF!,3,0)*L242</f>
        <v>#REF!</v>
      </c>
      <c r="O243" s="194">
        <f t="shared" si="48"/>
        <v>-170190.67095</v>
      </c>
      <c r="P243" s="195">
        <f t="shared" si="49"/>
        <v>225</v>
      </c>
      <c r="Q243" s="198">
        <f t="shared" si="42"/>
        <v>-1570366.9909145201</v>
      </c>
    </row>
    <row r="244" spans="3:17" s="130" customFormat="1" x14ac:dyDescent="0.3">
      <c r="C244" s="189">
        <f t="shared" ca="1" si="38"/>
        <v>52186</v>
      </c>
      <c r="D244" s="190">
        <f t="shared" ca="1" si="39"/>
        <v>45</v>
      </c>
      <c r="E244" s="189">
        <f t="shared" ca="1" si="45"/>
        <v>52384</v>
      </c>
      <c r="F244" s="183" t="s">
        <v>257</v>
      </c>
      <c r="G244" s="183"/>
      <c r="H244" s="186">
        <f t="shared" si="43"/>
        <v>226</v>
      </c>
      <c r="I244" s="197">
        <f t="shared" si="46"/>
        <v>-1368400.9989570146</v>
      </c>
      <c r="J244" s="194">
        <f t="shared" si="40"/>
        <v>764735.75481260766</v>
      </c>
      <c r="K244" s="186">
        <f t="shared" si="44"/>
        <v>603665.24414440698</v>
      </c>
      <c r="L244" s="186">
        <f t="shared" si="41"/>
        <v>69098603.485251054</v>
      </c>
      <c r="M244" s="194">
        <f t="shared" si="47"/>
        <v>-31505.425465686749</v>
      </c>
      <c r="N244" s="194" t="e">
        <f ca="1">+-VLOOKUP(D244,#REF!,3,0)*L243</f>
        <v>#REF!</v>
      </c>
      <c r="O244" s="194">
        <f t="shared" si="48"/>
        <v>-170190.67095</v>
      </c>
      <c r="P244" s="195">
        <f t="shared" si="49"/>
        <v>226</v>
      </c>
      <c r="Q244" s="198">
        <f t="shared" si="42"/>
        <v>-1570097.0953727013</v>
      </c>
    </row>
    <row r="245" spans="3:17" s="130" customFormat="1" x14ac:dyDescent="0.3">
      <c r="C245" s="189">
        <f t="shared" ca="1" si="38"/>
        <v>52186</v>
      </c>
      <c r="D245" s="190">
        <f t="shared" ca="1" si="39"/>
        <v>45</v>
      </c>
      <c r="E245" s="189">
        <f t="shared" ca="1" si="45"/>
        <v>52414</v>
      </c>
      <c r="F245" s="183" t="s">
        <v>258</v>
      </c>
      <c r="G245" s="183"/>
      <c r="H245" s="186">
        <f t="shared" si="43"/>
        <v>227</v>
      </c>
      <c r="I245" s="197">
        <f t="shared" si="46"/>
        <v>-1368400.9989570146</v>
      </c>
      <c r="J245" s="194">
        <f t="shared" si="40"/>
        <v>758112.66485369764</v>
      </c>
      <c r="K245" s="186">
        <f t="shared" si="44"/>
        <v>610288.334103317</v>
      </c>
      <c r="L245" s="186">
        <f t="shared" si="41"/>
        <v>68488315.151147738</v>
      </c>
      <c r="M245" s="194">
        <f t="shared" si="47"/>
        <v>-31232.568775333475</v>
      </c>
      <c r="N245" s="194" t="e">
        <f ca="1">+-VLOOKUP(D245,#REF!,3,0)*L244</f>
        <v>#REF!</v>
      </c>
      <c r="O245" s="194">
        <f t="shared" si="48"/>
        <v>-170190.67095</v>
      </c>
      <c r="P245" s="195">
        <f t="shared" si="49"/>
        <v>227</v>
      </c>
      <c r="Q245" s="198">
        <f t="shared" si="42"/>
        <v>-1569824.238682348</v>
      </c>
    </row>
    <row r="246" spans="3:17" s="130" customFormat="1" x14ac:dyDescent="0.3">
      <c r="C246" s="189">
        <f t="shared" ca="1" si="38"/>
        <v>52186</v>
      </c>
      <c r="D246" s="190">
        <f t="shared" ca="1" si="39"/>
        <v>45</v>
      </c>
      <c r="E246" s="189">
        <f t="shared" ca="1" si="45"/>
        <v>52445</v>
      </c>
      <c r="F246" s="183" t="s">
        <v>259</v>
      </c>
      <c r="G246" s="183"/>
      <c r="H246" s="186">
        <f t="shared" si="43"/>
        <v>228</v>
      </c>
      <c r="I246" s="197">
        <f t="shared" si="46"/>
        <v>-1368400.9989570146</v>
      </c>
      <c r="J246" s="194">
        <f t="shared" si="40"/>
        <v>751416.90991857881</v>
      </c>
      <c r="K246" s="186">
        <f t="shared" si="44"/>
        <v>616984.08903843584</v>
      </c>
      <c r="L246" s="186">
        <f t="shared" si="41"/>
        <v>67871331.062109306</v>
      </c>
      <c r="M246" s="194">
        <f t="shared" si="47"/>
        <v>-30956.718448318778</v>
      </c>
      <c r="N246" s="194" t="e">
        <f ca="1">+-VLOOKUP(D246,#REF!,3,0)*L245</f>
        <v>#REF!</v>
      </c>
      <c r="O246" s="194">
        <f t="shared" si="48"/>
        <v>-170190.67095</v>
      </c>
      <c r="P246" s="195">
        <f t="shared" si="49"/>
        <v>228</v>
      </c>
      <c r="Q246" s="198">
        <f t="shared" si="42"/>
        <v>-1569548.3883553334</v>
      </c>
    </row>
    <row r="247" spans="3:17" s="130" customFormat="1" x14ac:dyDescent="0.3">
      <c r="C247" s="189">
        <f t="shared" ca="1" si="38"/>
        <v>52186</v>
      </c>
      <c r="D247" s="190">
        <f t="shared" ca="1" si="39"/>
        <v>45</v>
      </c>
      <c r="E247" s="189">
        <f t="shared" ca="1" si="45"/>
        <v>52476</v>
      </c>
      <c r="F247" s="183" t="s">
        <v>260</v>
      </c>
      <c r="G247" s="183"/>
      <c r="H247" s="186">
        <f t="shared" si="43"/>
        <v>229</v>
      </c>
      <c r="I247" s="197">
        <f t="shared" si="46"/>
        <v>-1368400.9989570146</v>
      </c>
      <c r="J247" s="194">
        <f t="shared" si="40"/>
        <v>744647.69276626548</v>
      </c>
      <c r="K247" s="186">
        <f t="shared" si="44"/>
        <v>623753.30619074916</v>
      </c>
      <c r="L247" s="186">
        <f t="shared" si="41"/>
        <v>67247577.755918562</v>
      </c>
      <c r="M247" s="194">
        <f t="shared" si="47"/>
        <v>-30677.841640073406</v>
      </c>
      <c r="N247" s="194" t="e">
        <f ca="1">+-VLOOKUP(D247,#REF!,3,0)*L246</f>
        <v>#REF!</v>
      </c>
      <c r="O247" s="194">
        <f t="shared" si="48"/>
        <v>-170190.67095</v>
      </c>
      <c r="P247" s="195">
        <f t="shared" si="49"/>
        <v>229</v>
      </c>
      <c r="Q247" s="198">
        <f t="shared" si="42"/>
        <v>-1569269.5115470879</v>
      </c>
    </row>
    <row r="248" spans="3:17" s="130" customFormat="1" x14ac:dyDescent="0.3">
      <c r="C248" s="189">
        <f t="shared" ca="1" si="38"/>
        <v>52186</v>
      </c>
      <c r="D248" s="190">
        <f t="shared" ca="1" si="39"/>
        <v>45</v>
      </c>
      <c r="E248" s="189">
        <f t="shared" ca="1" si="45"/>
        <v>52506</v>
      </c>
      <c r="F248" s="183" t="s">
        <v>261</v>
      </c>
      <c r="G248" s="183"/>
      <c r="H248" s="186">
        <f t="shared" si="43"/>
        <v>230</v>
      </c>
      <c r="I248" s="197">
        <f t="shared" si="46"/>
        <v>-1368400.9989570146</v>
      </c>
      <c r="J248" s="194">
        <f t="shared" si="40"/>
        <v>737804.20740887325</v>
      </c>
      <c r="K248" s="186">
        <f t="shared" si="44"/>
        <v>630596.79154814139</v>
      </c>
      <c r="L248" s="186">
        <f t="shared" si="41"/>
        <v>66616980.964370422</v>
      </c>
      <c r="M248" s="194">
        <f t="shared" si="47"/>
        <v>-30395.905145675188</v>
      </c>
      <c r="N248" s="194" t="e">
        <f ca="1">+-VLOOKUP(D248,#REF!,3,0)*L247</f>
        <v>#REF!</v>
      </c>
      <c r="O248" s="194">
        <f t="shared" si="48"/>
        <v>-170190.67095</v>
      </c>
      <c r="P248" s="195">
        <f t="shared" si="49"/>
        <v>230</v>
      </c>
      <c r="Q248" s="198">
        <f t="shared" si="42"/>
        <v>-1568987.5750526898</v>
      </c>
    </row>
    <row r="249" spans="3:17" s="130" customFormat="1" x14ac:dyDescent="0.3">
      <c r="C249" s="189">
        <f t="shared" ca="1" si="38"/>
        <v>52186</v>
      </c>
      <c r="D249" s="190">
        <f t="shared" ca="1" si="39"/>
        <v>45</v>
      </c>
      <c r="E249" s="189">
        <f t="shared" ca="1" si="45"/>
        <v>52537</v>
      </c>
      <c r="F249" s="183" t="s">
        <v>262</v>
      </c>
      <c r="G249" s="183"/>
      <c r="H249" s="186">
        <f t="shared" si="43"/>
        <v>231</v>
      </c>
      <c r="I249" s="197">
        <f t="shared" si="46"/>
        <v>-1368400.9989570146</v>
      </c>
      <c r="J249" s="194">
        <f t="shared" si="40"/>
        <v>730885.63901565247</v>
      </c>
      <c r="K249" s="186">
        <f t="shared" si="44"/>
        <v>637515.35994136217</v>
      </c>
      <c r="L249" s="186">
        <f t="shared" si="41"/>
        <v>65979465.604429059</v>
      </c>
      <c r="M249" s="194">
        <f t="shared" si="47"/>
        <v>-30110.875395895429</v>
      </c>
      <c r="N249" s="194" t="e">
        <f ca="1">+-VLOOKUP(D249,#REF!,3,0)*L248</f>
        <v>#REF!</v>
      </c>
      <c r="O249" s="194">
        <f t="shared" si="48"/>
        <v>-170190.67095</v>
      </c>
      <c r="P249" s="195">
        <f t="shared" si="49"/>
        <v>231</v>
      </c>
      <c r="Q249" s="198">
        <f t="shared" si="42"/>
        <v>-1568702.54530291</v>
      </c>
    </row>
    <row r="250" spans="3:17" s="130" customFormat="1" x14ac:dyDescent="0.3">
      <c r="C250" s="189">
        <f t="shared" ca="1" si="38"/>
        <v>52551</v>
      </c>
      <c r="D250" s="190">
        <f t="shared" ca="1" si="39"/>
        <v>46</v>
      </c>
      <c r="E250" s="189">
        <f t="shared" ca="1" si="45"/>
        <v>52567</v>
      </c>
      <c r="F250" s="183" t="s">
        <v>263</v>
      </c>
      <c r="G250" s="183"/>
      <c r="H250" s="186">
        <f t="shared" si="43"/>
        <v>232</v>
      </c>
      <c r="I250" s="197">
        <f t="shared" si="46"/>
        <v>-1368400.9989570146</v>
      </c>
      <c r="J250" s="194">
        <f t="shared" si="40"/>
        <v>723891.16381596948</v>
      </c>
      <c r="K250" s="186">
        <f t="shared" si="44"/>
        <v>644509.83514104516</v>
      </c>
      <c r="L250" s="186">
        <f t="shared" si="41"/>
        <v>65334955.769288011</v>
      </c>
      <c r="M250" s="194">
        <f t="shared" si="47"/>
        <v>-29822.718453201935</v>
      </c>
      <c r="N250" s="194" t="e">
        <f ca="1">+-VLOOKUP(D250,#REF!,3,0)*L249</f>
        <v>#REF!</v>
      </c>
      <c r="O250" s="194">
        <f t="shared" si="48"/>
        <v>-170190.67095</v>
      </c>
      <c r="P250" s="195">
        <f t="shared" si="49"/>
        <v>232</v>
      </c>
      <c r="Q250" s="198">
        <f t="shared" si="42"/>
        <v>-1568414.3883602165</v>
      </c>
    </row>
    <row r="251" spans="3:17" s="130" customFormat="1" x14ac:dyDescent="0.3">
      <c r="C251" s="189">
        <f t="shared" ca="1" si="38"/>
        <v>52551</v>
      </c>
      <c r="D251" s="190">
        <f t="shared" ca="1" si="39"/>
        <v>46</v>
      </c>
      <c r="E251" s="189">
        <f t="shared" ca="1" si="45"/>
        <v>52598</v>
      </c>
      <c r="F251" s="183" t="s">
        <v>264</v>
      </c>
      <c r="G251" s="183"/>
      <c r="H251" s="186">
        <f t="shared" si="43"/>
        <v>233</v>
      </c>
      <c r="I251" s="197">
        <f t="shared" si="46"/>
        <v>-1368400.9989570146</v>
      </c>
      <c r="J251" s="194">
        <f t="shared" si="40"/>
        <v>716819.94900122308</v>
      </c>
      <c r="K251" s="186">
        <f t="shared" si="44"/>
        <v>651581.04995579156</v>
      </c>
      <c r="L251" s="186">
        <f t="shared" si="41"/>
        <v>64683374.719332218</v>
      </c>
      <c r="M251" s="194">
        <f t="shared" si="47"/>
        <v>-29531.400007718181</v>
      </c>
      <c r="N251" s="194" t="e">
        <f ca="1">+-VLOOKUP(D251,#REF!,3,0)*L250</f>
        <v>#REF!</v>
      </c>
      <c r="O251" s="194">
        <f t="shared" si="48"/>
        <v>-170190.67095</v>
      </c>
      <c r="P251" s="195">
        <f t="shared" si="49"/>
        <v>233</v>
      </c>
      <c r="Q251" s="198">
        <f t="shared" si="42"/>
        <v>-1568123.0699147328</v>
      </c>
    </row>
    <row r="252" spans="3:17" s="130" customFormat="1" x14ac:dyDescent="0.3">
      <c r="C252" s="189">
        <f t="shared" ca="1" si="38"/>
        <v>52551</v>
      </c>
      <c r="D252" s="190">
        <f t="shared" ca="1" si="39"/>
        <v>46</v>
      </c>
      <c r="E252" s="189">
        <f t="shared" ca="1" si="45"/>
        <v>52629</v>
      </c>
      <c r="F252" s="183" t="s">
        <v>265</v>
      </c>
      <c r="G252" s="183"/>
      <c r="H252" s="186">
        <f t="shared" si="43"/>
        <v>234</v>
      </c>
      <c r="I252" s="197">
        <f t="shared" si="46"/>
        <v>-1368400.9989570146</v>
      </c>
      <c r="J252" s="194">
        <f t="shared" si="40"/>
        <v>709671.15262568428</v>
      </c>
      <c r="K252" s="186">
        <f t="shared" si="44"/>
        <v>658729.84633133037</v>
      </c>
      <c r="L252" s="186">
        <f t="shared" si="41"/>
        <v>64024644.87300089</v>
      </c>
      <c r="M252" s="194">
        <f t="shared" si="47"/>
        <v>-29236.885373138161</v>
      </c>
      <c r="N252" s="194" t="e">
        <f ca="1">+-VLOOKUP(D252,#REF!,3,0)*L251</f>
        <v>#REF!</v>
      </c>
      <c r="O252" s="194">
        <f t="shared" si="48"/>
        <v>-170190.67095</v>
      </c>
      <c r="P252" s="195">
        <f t="shared" si="49"/>
        <v>234</v>
      </c>
      <c r="Q252" s="198">
        <f t="shared" si="42"/>
        <v>-1567828.5552801527</v>
      </c>
    </row>
    <row r="253" spans="3:17" s="130" customFormat="1" x14ac:dyDescent="0.3">
      <c r="C253" s="189">
        <f t="shared" ca="1" si="38"/>
        <v>52551</v>
      </c>
      <c r="D253" s="190">
        <f t="shared" ca="1" si="39"/>
        <v>46</v>
      </c>
      <c r="E253" s="189">
        <f t="shared" ca="1" si="45"/>
        <v>52658</v>
      </c>
      <c r="F253" s="183" t="s">
        <v>266</v>
      </c>
      <c r="G253" s="183"/>
      <c r="H253" s="186">
        <f t="shared" si="43"/>
        <v>235</v>
      </c>
      <c r="I253" s="197">
        <f t="shared" si="46"/>
        <v>-1368400.9989570146</v>
      </c>
      <c r="J253" s="194">
        <f t="shared" si="40"/>
        <v>702443.92350624909</v>
      </c>
      <c r="K253" s="186">
        <f t="shared" si="44"/>
        <v>665957.07545076555</v>
      </c>
      <c r="L253" s="186">
        <f t="shared" si="41"/>
        <v>63358687.797550127</v>
      </c>
      <c r="M253" s="194">
        <f t="shared" si="47"/>
        <v>-28939.139482596402</v>
      </c>
      <c r="N253" s="194" t="e">
        <f ca="1">+-VLOOKUP(D253,#REF!,3,0)*L252</f>
        <v>#REF!</v>
      </c>
      <c r="O253" s="194">
        <f t="shared" si="48"/>
        <v>-170190.67095</v>
      </c>
      <c r="P253" s="195">
        <f t="shared" si="49"/>
        <v>235</v>
      </c>
      <c r="Q253" s="198">
        <f t="shared" si="42"/>
        <v>-1567530.809389611</v>
      </c>
    </row>
    <row r="254" spans="3:17" s="130" customFormat="1" x14ac:dyDescent="0.3">
      <c r="C254" s="189">
        <f t="shared" ca="1" si="38"/>
        <v>52551</v>
      </c>
      <c r="D254" s="190">
        <f t="shared" ca="1" si="39"/>
        <v>46</v>
      </c>
      <c r="E254" s="189">
        <f t="shared" ca="1" si="45"/>
        <v>52689</v>
      </c>
      <c r="F254" s="183" t="s">
        <v>267</v>
      </c>
      <c r="G254" s="183"/>
      <c r="H254" s="186">
        <f t="shared" si="43"/>
        <v>236</v>
      </c>
      <c r="I254" s="197">
        <f t="shared" si="46"/>
        <v>-1368400.9989570146</v>
      </c>
      <c r="J254" s="194">
        <f t="shared" si="40"/>
        <v>695137.40112109098</v>
      </c>
      <c r="K254" s="186">
        <f t="shared" si="44"/>
        <v>673263.59783592366</v>
      </c>
      <c r="L254" s="186">
        <f t="shared" si="41"/>
        <v>62685424.199714206</v>
      </c>
      <c r="M254" s="194">
        <f t="shared" si="47"/>
        <v>-28638.126884492656</v>
      </c>
      <c r="N254" s="194" t="e">
        <f ca="1">+-VLOOKUP(D254,#REF!,3,0)*L253</f>
        <v>#REF!</v>
      </c>
      <c r="O254" s="194">
        <f t="shared" si="48"/>
        <v>-170190.67095</v>
      </c>
      <c r="P254" s="195">
        <f t="shared" si="49"/>
        <v>236</v>
      </c>
      <c r="Q254" s="198">
        <f t="shared" si="42"/>
        <v>-1567229.7967915072</v>
      </c>
    </row>
    <row r="255" spans="3:17" s="130" customFormat="1" x14ac:dyDescent="0.3">
      <c r="C255" s="189">
        <f t="shared" ca="1" si="38"/>
        <v>52551</v>
      </c>
      <c r="D255" s="190">
        <f t="shared" ca="1" si="39"/>
        <v>46</v>
      </c>
      <c r="E255" s="189">
        <f t="shared" ca="1" si="45"/>
        <v>52719</v>
      </c>
      <c r="F255" s="183" t="s">
        <v>268</v>
      </c>
      <c r="G255" s="183"/>
      <c r="H255" s="186">
        <f t="shared" si="43"/>
        <v>237</v>
      </c>
      <c r="I255" s="197">
        <f t="shared" si="46"/>
        <v>-1368400.9989570146</v>
      </c>
      <c r="J255" s="194">
        <f t="shared" si="40"/>
        <v>687750.71550720127</v>
      </c>
      <c r="K255" s="186">
        <f t="shared" si="44"/>
        <v>680650.28344981337</v>
      </c>
      <c r="L255" s="186">
        <f t="shared" si="41"/>
        <v>62004773.916264392</v>
      </c>
      <c r="M255" s="194">
        <f t="shared" si="47"/>
        <v>-28333.811738270819</v>
      </c>
      <c r="N255" s="194" t="e">
        <f ca="1">+-VLOOKUP(D255,#REF!,3,0)*L254</f>
        <v>#REF!</v>
      </c>
      <c r="O255" s="194">
        <f t="shared" si="48"/>
        <v>-170190.67095</v>
      </c>
      <c r="P255" s="195">
        <f t="shared" si="49"/>
        <v>237</v>
      </c>
      <c r="Q255" s="198">
        <f t="shared" si="42"/>
        <v>-1566925.4816452854</v>
      </c>
    </row>
    <row r="256" spans="3:17" s="130" customFormat="1" x14ac:dyDescent="0.3">
      <c r="C256" s="189">
        <f t="shared" ca="1" si="38"/>
        <v>52551</v>
      </c>
      <c r="D256" s="190">
        <f t="shared" ca="1" si="39"/>
        <v>46</v>
      </c>
      <c r="E256" s="189">
        <f t="shared" ca="1" si="45"/>
        <v>52750</v>
      </c>
      <c r="F256" s="183" t="s">
        <v>269</v>
      </c>
      <c r="G256" s="183"/>
      <c r="H256" s="186">
        <f t="shared" si="43"/>
        <v>238</v>
      </c>
      <c r="I256" s="197">
        <f t="shared" si="46"/>
        <v>-1368400.9989570146</v>
      </c>
      <c r="J256" s="194">
        <f t="shared" si="40"/>
        <v>680282.98715680547</v>
      </c>
      <c r="K256" s="186">
        <f t="shared" si="44"/>
        <v>688118.01180020918</v>
      </c>
      <c r="L256" s="186">
        <f t="shared" si="41"/>
        <v>61316655.904464185</v>
      </c>
      <c r="M256" s="194">
        <f t="shared" si="47"/>
        <v>-28026.157810151504</v>
      </c>
      <c r="N256" s="194" t="e">
        <f ca="1">+-VLOOKUP(D256,#REF!,3,0)*L255</f>
        <v>#REF!</v>
      </c>
      <c r="O256" s="194">
        <f t="shared" si="48"/>
        <v>-170190.67095</v>
      </c>
      <c r="P256" s="195">
        <f t="shared" si="49"/>
        <v>238</v>
      </c>
      <c r="Q256" s="198">
        <f t="shared" si="42"/>
        <v>-1566617.8277171662</v>
      </c>
    </row>
    <row r="257" spans="3:17" s="130" customFormat="1" x14ac:dyDescent="0.3">
      <c r="C257" s="189">
        <f t="shared" ca="1" si="38"/>
        <v>52551</v>
      </c>
      <c r="D257" s="190">
        <f t="shared" ca="1" si="39"/>
        <v>46</v>
      </c>
      <c r="E257" s="189">
        <f t="shared" ca="1" si="45"/>
        <v>52780</v>
      </c>
      <c r="F257" s="183" t="s">
        <v>270</v>
      </c>
      <c r="G257" s="183"/>
      <c r="H257" s="186">
        <f t="shared" si="43"/>
        <v>239</v>
      </c>
      <c r="I257" s="197">
        <f t="shared" si="46"/>
        <v>-1368400.9989570146</v>
      </c>
      <c r="J257" s="194">
        <f t="shared" si="40"/>
        <v>672733.32691264397</v>
      </c>
      <c r="K257" s="186">
        <f t="shared" si="44"/>
        <v>695667.67204437067</v>
      </c>
      <c r="L257" s="186">
        <f t="shared" si="41"/>
        <v>60620988.232419811</v>
      </c>
      <c r="M257" s="194">
        <f t="shared" si="47"/>
        <v>-27715.128468817809</v>
      </c>
      <c r="N257" s="194" t="e">
        <f ca="1">+-VLOOKUP(D257,#REF!,3,0)*L256</f>
        <v>#REF!</v>
      </c>
      <c r="O257" s="194">
        <f t="shared" si="48"/>
        <v>-170190.67095</v>
      </c>
      <c r="P257" s="195">
        <f t="shared" si="49"/>
        <v>239</v>
      </c>
      <c r="Q257" s="198">
        <f t="shared" si="42"/>
        <v>-1566306.7983758324</v>
      </c>
    </row>
    <row r="258" spans="3:17" s="130" customFormat="1" x14ac:dyDescent="0.3">
      <c r="C258" s="189">
        <f t="shared" ca="1" si="38"/>
        <v>52551</v>
      </c>
      <c r="D258" s="190">
        <f t="shared" ca="1" si="39"/>
        <v>46</v>
      </c>
      <c r="E258" s="189">
        <f t="shared" ca="1" si="45"/>
        <v>52811</v>
      </c>
      <c r="F258" s="183" t="s">
        <v>271</v>
      </c>
      <c r="G258" s="183"/>
      <c r="H258" s="186">
        <f t="shared" si="43"/>
        <v>240</v>
      </c>
      <c r="I258" s="197">
        <f t="shared" si="46"/>
        <v>-1368400.9989570146</v>
      </c>
      <c r="J258" s="194">
        <f t="shared" si="40"/>
        <v>665100.83586210199</v>
      </c>
      <c r="K258" s="186">
        <f t="shared" si="44"/>
        <v>703300.16309491266</v>
      </c>
      <c r="L258" s="186">
        <f t="shared" si="41"/>
        <v>59917688.069324896</v>
      </c>
      <c r="M258" s="194">
        <f t="shared" si="47"/>
        <v>-27400.686681053754</v>
      </c>
      <c r="N258" s="194" t="e">
        <f ca="1">+-VLOOKUP(D258,#REF!,3,0)*L257</f>
        <v>#REF!</v>
      </c>
      <c r="O258" s="194">
        <f t="shared" si="48"/>
        <v>-170190.67095</v>
      </c>
      <c r="P258" s="195">
        <f t="shared" si="49"/>
        <v>240</v>
      </c>
      <c r="Q258" s="198">
        <f t="shared" si="42"/>
        <v>-1565992.3565880684</v>
      </c>
    </row>
    <row r="259" spans="3:17" s="130" customFormat="1" x14ac:dyDescent="0.3">
      <c r="H259" s="186">
        <f t="shared" ref="H259:H318" si="50">P259</f>
        <v>241</v>
      </c>
      <c r="I259" s="197">
        <f t="shared" ref="I259:I318" si="51">+IF(L258&gt;0.1,I258,0)</f>
        <v>-1368400.9989570146</v>
      </c>
      <c r="J259" s="194">
        <f t="shared" ref="J259:J318" si="52">+IF(L258&gt;0,L258*$J$9,0)</f>
        <v>657384.60523017996</v>
      </c>
      <c r="K259" s="186">
        <f t="shared" ref="K259:K318" si="53">+IF(L258&gt;0,-I259-J259,0)</f>
        <v>711016.39372683468</v>
      </c>
      <c r="L259" s="186">
        <f t="shared" ref="L259:L318" si="54">+L258-K259</f>
        <v>59206671.675598063</v>
      </c>
      <c r="M259" s="194">
        <f t="shared" si="47"/>
        <v>-27082.795007334851</v>
      </c>
      <c r="N259" s="194" t="e">
        <f>+-VLOOKUP(D259,#REF!,3,0)*L258</f>
        <v>#REF!</v>
      </c>
      <c r="O259" s="194">
        <f t="shared" si="48"/>
        <v>-170190.67095</v>
      </c>
      <c r="P259" s="195">
        <f t="shared" si="49"/>
        <v>241</v>
      </c>
      <c r="Q259" s="198">
        <f t="shared" ref="Q259:Q318" si="55">+I259+M259+O259</f>
        <v>-1565674.4649143494</v>
      </c>
    </row>
    <row r="260" spans="3:17" s="130" customFormat="1" x14ac:dyDescent="0.3">
      <c r="H260" s="186">
        <f t="shared" si="50"/>
        <v>242</v>
      </c>
      <c r="I260" s="197">
        <f t="shared" si="51"/>
        <v>-1368400.9989570146</v>
      </c>
      <c r="J260" s="194">
        <f t="shared" si="52"/>
        <v>649583.71627128846</v>
      </c>
      <c r="K260" s="186">
        <f t="shared" si="53"/>
        <v>718817.28268572618</v>
      </c>
      <c r="L260" s="186">
        <f t="shared" si="54"/>
        <v>58487854.392912336</v>
      </c>
      <c r="M260" s="194">
        <f t="shared" si="47"/>
        <v>-26761.415597370324</v>
      </c>
      <c r="N260" s="194" t="e">
        <f>+-VLOOKUP(D260,#REF!,3,0)*L259</f>
        <v>#REF!</v>
      </c>
      <c r="O260" s="194">
        <f t="shared" si="48"/>
        <v>-170190.67095</v>
      </c>
      <c r="P260" s="195">
        <f t="shared" si="49"/>
        <v>242</v>
      </c>
      <c r="Q260" s="198">
        <f t="shared" si="55"/>
        <v>-1565353.0855043849</v>
      </c>
    </row>
    <row r="261" spans="3:17" s="130" customFormat="1" x14ac:dyDescent="0.3">
      <c r="H261" s="186">
        <f t="shared" si="50"/>
        <v>243</v>
      </c>
      <c r="I261" s="197">
        <f t="shared" si="51"/>
        <v>-1368400.9989570146</v>
      </c>
      <c r="J261" s="194">
        <f t="shared" si="52"/>
        <v>641697.24015985604</v>
      </c>
      <c r="K261" s="186">
        <f t="shared" si="53"/>
        <v>726703.7587971586</v>
      </c>
      <c r="L261" s="186">
        <f t="shared" si="54"/>
        <v>57761150.634115174</v>
      </c>
      <c r="M261" s="194">
        <f t="shared" si="47"/>
        <v>-26436.510185596373</v>
      </c>
      <c r="N261" s="194" t="e">
        <f>+-VLOOKUP(D261,#REF!,3,0)*L260</f>
        <v>#REF!</v>
      </c>
      <c r="O261" s="194">
        <f t="shared" si="48"/>
        <v>-170190.67095</v>
      </c>
      <c r="P261" s="195">
        <f t="shared" si="49"/>
        <v>243</v>
      </c>
      <c r="Q261" s="198">
        <f t="shared" si="55"/>
        <v>-1565028.1800926109</v>
      </c>
    </row>
    <row r="262" spans="3:17" s="130" customFormat="1" x14ac:dyDescent="0.3">
      <c r="H262" s="186">
        <f t="shared" si="50"/>
        <v>244</v>
      </c>
      <c r="I262" s="197">
        <f t="shared" si="51"/>
        <v>-1368400.9989570146</v>
      </c>
      <c r="J262" s="194">
        <f t="shared" si="52"/>
        <v>633724.23787973751</v>
      </c>
      <c r="K262" s="186">
        <f t="shared" si="53"/>
        <v>734676.76107727713</v>
      </c>
      <c r="L262" s="186">
        <f t="shared" si="54"/>
        <v>57026473.873037897</v>
      </c>
      <c r="M262" s="194">
        <f t="shared" si="47"/>
        <v>-26108.040086620058</v>
      </c>
      <c r="N262" s="194" t="e">
        <f>+-VLOOKUP(D262,#REF!,3,0)*L261</f>
        <v>#REF!</v>
      </c>
      <c r="O262" s="194">
        <f t="shared" si="48"/>
        <v>-170190.67095</v>
      </c>
      <c r="P262" s="195">
        <f t="shared" si="49"/>
        <v>244</v>
      </c>
      <c r="Q262" s="198">
        <f t="shared" si="55"/>
        <v>-1564699.7099936346</v>
      </c>
    </row>
    <row r="263" spans="3:17" s="130" customFormat="1" x14ac:dyDescent="0.3">
      <c r="H263" s="186">
        <f t="shared" si="50"/>
        <v>245</v>
      </c>
      <c r="I263" s="197">
        <f t="shared" si="51"/>
        <v>-1368400.9989570146</v>
      </c>
      <c r="J263" s="194">
        <f t="shared" si="52"/>
        <v>625663.76011240808</v>
      </c>
      <c r="K263" s="186">
        <f t="shared" si="53"/>
        <v>742737.23884460656</v>
      </c>
      <c r="L263" s="186">
        <f t="shared" si="54"/>
        <v>56283736.634193294</v>
      </c>
      <c r="M263" s="194">
        <f t="shared" si="47"/>
        <v>-25775.96619061313</v>
      </c>
      <c r="N263" s="194" t="e">
        <f>+-VLOOKUP(D263,#REF!,3,0)*L262</f>
        <v>#REF!</v>
      </c>
      <c r="O263" s="194">
        <f t="shared" si="48"/>
        <v>-170190.67095</v>
      </c>
      <c r="P263" s="195">
        <f t="shared" si="49"/>
        <v>245</v>
      </c>
      <c r="Q263" s="198">
        <f t="shared" si="55"/>
        <v>-1564367.6360976277</v>
      </c>
    </row>
    <row r="264" spans="3:17" s="130" customFormat="1" x14ac:dyDescent="0.3">
      <c r="H264" s="186">
        <f t="shared" si="50"/>
        <v>246</v>
      </c>
      <c r="I264" s="197">
        <f t="shared" si="51"/>
        <v>-1368400.9989570146</v>
      </c>
      <c r="J264" s="194">
        <f t="shared" si="52"/>
        <v>617514.84712393151</v>
      </c>
      <c r="K264" s="186">
        <f t="shared" si="53"/>
        <v>750886.15183308313</v>
      </c>
      <c r="L264" s="186">
        <f t="shared" si="54"/>
        <v>55532850.482360214</v>
      </c>
      <c r="M264" s="194">
        <f t="shared" si="47"/>
        <v>-25440.248958655367</v>
      </c>
      <c r="N264" s="194" t="e">
        <f>+-VLOOKUP(D264,#REF!,3,0)*L263</f>
        <v>#REF!</v>
      </c>
      <c r="O264" s="194">
        <f t="shared" si="48"/>
        <v>-170190.67095</v>
      </c>
      <c r="P264" s="195">
        <f t="shared" si="49"/>
        <v>246</v>
      </c>
      <c r="Q264" s="198">
        <f t="shared" si="55"/>
        <v>-1564031.91886567</v>
      </c>
    </row>
    <row r="265" spans="3:17" s="130" customFormat="1" x14ac:dyDescent="0.3">
      <c r="H265" s="186">
        <f t="shared" si="50"/>
        <v>247</v>
      </c>
      <c r="I265" s="197">
        <f t="shared" si="51"/>
        <v>-1368400.9989570146</v>
      </c>
      <c r="J265" s="194">
        <f t="shared" si="52"/>
        <v>609276.52865068731</v>
      </c>
      <c r="K265" s="186">
        <f t="shared" si="53"/>
        <v>759124.47030632733</v>
      </c>
      <c r="L265" s="186">
        <f t="shared" si="54"/>
        <v>54773726.012053885</v>
      </c>
      <c r="M265" s="194">
        <f t="shared" si="47"/>
        <v>-25100.848418026817</v>
      </c>
      <c r="N265" s="194" t="e">
        <f>+-VLOOKUP(D265,#REF!,3,0)*L264</f>
        <v>#REF!</v>
      </c>
      <c r="O265" s="194">
        <f t="shared" si="48"/>
        <v>-170190.67095</v>
      </c>
      <c r="P265" s="195">
        <f t="shared" si="49"/>
        <v>247</v>
      </c>
      <c r="Q265" s="198">
        <f t="shared" si="55"/>
        <v>-1563692.5183250415</v>
      </c>
    </row>
    <row r="266" spans="3:17" s="130" customFormat="1" x14ac:dyDescent="0.3">
      <c r="H266" s="186">
        <f t="shared" si="50"/>
        <v>248</v>
      </c>
      <c r="I266" s="197">
        <f t="shared" si="51"/>
        <v>-1368400.9989570146</v>
      </c>
      <c r="J266" s="194">
        <f t="shared" si="52"/>
        <v>600947.82378384552</v>
      </c>
      <c r="K266" s="186">
        <f t="shared" si="53"/>
        <v>767453.17517316912</v>
      </c>
      <c r="L266" s="186">
        <f t="shared" si="54"/>
        <v>54006272.836880714</v>
      </c>
      <c r="M266" s="194">
        <f t="shared" si="47"/>
        <v>-24757.724157448356</v>
      </c>
      <c r="N266" s="194" t="e">
        <f>+-VLOOKUP(D266,#REF!,3,0)*L265</f>
        <v>#REF!</v>
      </c>
      <c r="O266" s="194">
        <f t="shared" si="48"/>
        <v>-170190.67095</v>
      </c>
      <c r="P266" s="195">
        <f t="shared" si="49"/>
        <v>248</v>
      </c>
      <c r="Q266" s="198">
        <f t="shared" si="55"/>
        <v>-1563349.394064463</v>
      </c>
    </row>
    <row r="267" spans="3:17" s="130" customFormat="1" x14ac:dyDescent="0.3">
      <c r="H267" s="186">
        <f t="shared" si="50"/>
        <v>249</v>
      </c>
      <c r="I267" s="197">
        <f t="shared" si="51"/>
        <v>-1368400.9989570146</v>
      </c>
      <c r="J267" s="194">
        <f t="shared" si="52"/>
        <v>592527.74085257249</v>
      </c>
      <c r="K267" s="186">
        <f t="shared" si="53"/>
        <v>775873.25810444215</v>
      </c>
      <c r="L267" s="186">
        <f t="shared" si="54"/>
        <v>53230399.57877627</v>
      </c>
      <c r="M267" s="194">
        <f t="shared" si="47"/>
        <v>-24410.835322270083</v>
      </c>
      <c r="N267" s="194" t="e">
        <f>+-VLOOKUP(D267,#REF!,3,0)*L266</f>
        <v>#REF!</v>
      </c>
      <c r="O267" s="194">
        <f t="shared" si="48"/>
        <v>-170190.67095</v>
      </c>
      <c r="P267" s="195">
        <f t="shared" si="49"/>
        <v>249</v>
      </c>
      <c r="Q267" s="198">
        <f t="shared" si="55"/>
        <v>-1563002.5052292848</v>
      </c>
    </row>
    <row r="268" spans="3:17" s="130" customFormat="1" x14ac:dyDescent="0.3">
      <c r="H268" s="186">
        <f t="shared" si="50"/>
        <v>250</v>
      </c>
      <c r="I268" s="197">
        <f t="shared" si="51"/>
        <v>-1368400.9989570146</v>
      </c>
      <c r="J268" s="194">
        <f t="shared" si="52"/>
        <v>584015.27730595635</v>
      </c>
      <c r="K268" s="186">
        <f t="shared" si="53"/>
        <v>784385.72165105829</v>
      </c>
      <c r="L268" s="186">
        <f t="shared" si="54"/>
        <v>52446013.857125215</v>
      </c>
      <c r="M268" s="194">
        <f t="shared" si="47"/>
        <v>-24060.140609606875</v>
      </c>
      <c r="N268" s="194" t="e">
        <f>+-VLOOKUP(D268,#REF!,3,0)*L267</f>
        <v>#REF!</v>
      </c>
      <c r="O268" s="194">
        <f t="shared" si="48"/>
        <v>-170190.67095</v>
      </c>
      <c r="P268" s="195">
        <f t="shared" si="49"/>
        <v>250</v>
      </c>
      <c r="Q268" s="198">
        <f t="shared" si="55"/>
        <v>-1562651.8105166215</v>
      </c>
    </row>
    <row r="269" spans="3:17" s="130" customFormat="1" x14ac:dyDescent="0.3">
      <c r="H269" s="186">
        <f t="shared" si="50"/>
        <v>251</v>
      </c>
      <c r="I269" s="197">
        <f t="shared" si="51"/>
        <v>-1368400.9989570146</v>
      </c>
      <c r="J269" s="194">
        <f t="shared" si="52"/>
        <v>575409.41959363665</v>
      </c>
      <c r="K269" s="186">
        <f t="shared" si="53"/>
        <v>792991.579363378</v>
      </c>
      <c r="L269" s="186">
        <f t="shared" si="54"/>
        <v>51653022.277761839</v>
      </c>
      <c r="M269" s="194">
        <f t="shared" si="47"/>
        <v>-23705.598263420598</v>
      </c>
      <c r="N269" s="194" t="e">
        <f>+-VLOOKUP(D269,#REF!,3,0)*L268</f>
        <v>#REF!</v>
      </c>
      <c r="O269" s="194">
        <f t="shared" si="48"/>
        <v>-170190.67095</v>
      </c>
      <c r="P269" s="195">
        <f t="shared" si="49"/>
        <v>251</v>
      </c>
      <c r="Q269" s="198">
        <f t="shared" si="55"/>
        <v>-1562297.2681704352</v>
      </c>
    </row>
    <row r="270" spans="3:17" s="130" customFormat="1" x14ac:dyDescent="0.3">
      <c r="H270" s="186">
        <f t="shared" si="50"/>
        <v>252</v>
      </c>
      <c r="I270" s="197">
        <f t="shared" si="51"/>
        <v>-1368400.9989570146</v>
      </c>
      <c r="J270" s="194">
        <f t="shared" si="52"/>
        <v>566709.1430451239</v>
      </c>
      <c r="K270" s="186">
        <f t="shared" si="53"/>
        <v>801691.85591189074</v>
      </c>
      <c r="L270" s="186">
        <f t="shared" si="54"/>
        <v>50851330.421849951</v>
      </c>
      <c r="M270" s="194">
        <f t="shared" si="47"/>
        <v>-23347.166069548352</v>
      </c>
      <c r="N270" s="194" t="e">
        <f>+-VLOOKUP(D270,#REF!,3,0)*L269</f>
        <v>#REF!</v>
      </c>
      <c r="O270" s="194">
        <f t="shared" si="48"/>
        <v>-170190.67095</v>
      </c>
      <c r="P270" s="195">
        <f t="shared" si="49"/>
        <v>252</v>
      </c>
      <c r="Q270" s="198">
        <f t="shared" si="55"/>
        <v>-1561938.8359765629</v>
      </c>
    </row>
    <row r="271" spans="3:17" s="130" customFormat="1" x14ac:dyDescent="0.3">
      <c r="H271" s="186">
        <f t="shared" si="50"/>
        <v>253</v>
      </c>
      <c r="I271" s="197">
        <f t="shared" si="51"/>
        <v>-1368400.9989570146</v>
      </c>
      <c r="J271" s="194">
        <f t="shared" si="52"/>
        <v>557913.41174779611</v>
      </c>
      <c r="K271" s="186">
        <f t="shared" si="53"/>
        <v>810487.58720921853</v>
      </c>
      <c r="L271" s="186">
        <f t="shared" si="54"/>
        <v>50040842.834640734</v>
      </c>
      <c r="M271" s="194">
        <f t="shared" si="47"/>
        <v>-22984.801350676178</v>
      </c>
      <c r="N271" s="194" t="e">
        <f>+-VLOOKUP(D271,#REF!,3,0)*L270</f>
        <v>#REF!</v>
      </c>
      <c r="O271" s="194">
        <f t="shared" si="48"/>
        <v>-170190.67095</v>
      </c>
      <c r="P271" s="195">
        <f t="shared" si="49"/>
        <v>253</v>
      </c>
      <c r="Q271" s="198">
        <f t="shared" si="55"/>
        <v>-1561576.4712576908</v>
      </c>
    </row>
    <row r="272" spans="3:17" s="130" customFormat="1" x14ac:dyDescent="0.3">
      <c r="H272" s="186">
        <f t="shared" si="50"/>
        <v>254</v>
      </c>
      <c r="I272" s="197">
        <f t="shared" si="51"/>
        <v>-1368400.9989570146</v>
      </c>
      <c r="J272" s="194">
        <f t="shared" si="52"/>
        <v>549021.17842355568</v>
      </c>
      <c r="K272" s="186">
        <f t="shared" si="53"/>
        <v>819379.82053345896</v>
      </c>
      <c r="L272" s="186">
        <f t="shared" si="54"/>
        <v>49221463.014107272</v>
      </c>
      <c r="M272" s="194">
        <f t="shared" si="47"/>
        <v>-22618.46096125761</v>
      </c>
      <c r="N272" s="194" t="e">
        <f>+-VLOOKUP(D272,#REF!,3,0)*L271</f>
        <v>#REF!</v>
      </c>
      <c r="O272" s="194">
        <f t="shared" si="48"/>
        <v>-170190.67095</v>
      </c>
      <c r="P272" s="195">
        <f t="shared" si="49"/>
        <v>254</v>
      </c>
      <c r="Q272" s="198">
        <f t="shared" si="55"/>
        <v>-1561210.1308682722</v>
      </c>
    </row>
    <row r="273" spans="8:17" s="130" customFormat="1" x14ac:dyDescent="0.3">
      <c r="H273" s="186">
        <f t="shared" si="50"/>
        <v>255</v>
      </c>
      <c r="I273" s="197">
        <f t="shared" si="51"/>
        <v>-1368400.9989570146</v>
      </c>
      <c r="J273" s="194">
        <f t="shared" si="52"/>
        <v>540031.38430413394</v>
      </c>
      <c r="K273" s="186">
        <f t="shared" si="53"/>
        <v>828369.6146528807</v>
      </c>
      <c r="L273" s="186">
        <f t="shared" si="54"/>
        <v>48393093.399454392</v>
      </c>
      <c r="M273" s="194">
        <f t="shared" si="47"/>
        <v>-22248.101282376487</v>
      </c>
      <c r="N273" s="194" t="e">
        <f>+-VLOOKUP(D273,#REF!,3,0)*L272</f>
        <v>#REF!</v>
      </c>
      <c r="O273" s="194">
        <f t="shared" si="48"/>
        <v>-170190.67095</v>
      </c>
      <c r="P273" s="195">
        <f t="shared" si="49"/>
        <v>255</v>
      </c>
      <c r="Q273" s="198">
        <f t="shared" si="55"/>
        <v>-1560839.7711893911</v>
      </c>
    </row>
    <row r="274" spans="8:17" s="130" customFormat="1" x14ac:dyDescent="0.3">
      <c r="H274" s="186">
        <f t="shared" si="50"/>
        <v>256</v>
      </c>
      <c r="I274" s="197">
        <f t="shared" si="51"/>
        <v>-1368400.9989570146</v>
      </c>
      <c r="J274" s="194">
        <f t="shared" si="52"/>
        <v>530942.95900502685</v>
      </c>
      <c r="K274" s="186">
        <f t="shared" si="53"/>
        <v>837458.0399519878</v>
      </c>
      <c r="L274" s="186">
        <f t="shared" si="54"/>
        <v>47555635.359502405</v>
      </c>
      <c r="M274" s="194">
        <f t="shared" si="47"/>
        <v>-21873.678216553384</v>
      </c>
      <c r="N274" s="194" t="e">
        <f>+-VLOOKUP(D274,#REF!,3,0)*L273</f>
        <v>#REF!</v>
      </c>
      <c r="O274" s="194">
        <f t="shared" si="48"/>
        <v>-170190.67095</v>
      </c>
      <c r="P274" s="195">
        <f t="shared" si="49"/>
        <v>256</v>
      </c>
      <c r="Q274" s="198">
        <f t="shared" si="55"/>
        <v>-1560465.3481235679</v>
      </c>
    </row>
    <row r="275" spans="8:17" s="130" customFormat="1" x14ac:dyDescent="0.3">
      <c r="H275" s="186">
        <f t="shared" si="50"/>
        <v>257</v>
      </c>
      <c r="I275" s="197">
        <f t="shared" si="51"/>
        <v>-1368400.9989570146</v>
      </c>
      <c r="J275" s="194">
        <f t="shared" si="52"/>
        <v>521754.82039804797</v>
      </c>
      <c r="K275" s="186">
        <f t="shared" si="53"/>
        <v>846646.17855896661</v>
      </c>
      <c r="L275" s="186">
        <f t="shared" si="54"/>
        <v>46708989.180943437</v>
      </c>
      <c r="M275" s="194">
        <f t="shared" si="47"/>
        <v>-21495.147182495086</v>
      </c>
      <c r="N275" s="194" t="e">
        <f>+-VLOOKUP(D275,#REF!,3,0)*L274</f>
        <v>#REF!</v>
      </c>
      <c r="O275" s="194">
        <f t="shared" si="48"/>
        <v>-170190.67095</v>
      </c>
      <c r="P275" s="195">
        <f t="shared" si="49"/>
        <v>257</v>
      </c>
      <c r="Q275" s="198">
        <f t="shared" si="55"/>
        <v>-1560086.8170895097</v>
      </c>
    </row>
    <row r="276" spans="8:17" s="130" customFormat="1" x14ac:dyDescent="0.3">
      <c r="H276" s="186">
        <f t="shared" si="50"/>
        <v>258</v>
      </c>
      <c r="I276" s="197">
        <f t="shared" si="51"/>
        <v>-1368400.9989570146</v>
      </c>
      <c r="J276" s="194">
        <f t="shared" si="52"/>
        <v>512465.87448248343</v>
      </c>
      <c r="K276" s="186">
        <f t="shared" si="53"/>
        <v>855935.12447453127</v>
      </c>
      <c r="L276" s="186">
        <f t="shared" si="54"/>
        <v>45853054.056468904</v>
      </c>
      <c r="M276" s="194">
        <f t="shared" si="47"/>
        <v>-21112.463109786433</v>
      </c>
      <c r="N276" s="194" t="e">
        <f>+-VLOOKUP(D276,#REF!,3,0)*L275</f>
        <v>#REF!</v>
      </c>
      <c r="O276" s="194">
        <f t="shared" si="48"/>
        <v>-170190.67095</v>
      </c>
      <c r="P276" s="195">
        <f t="shared" si="49"/>
        <v>258</v>
      </c>
      <c r="Q276" s="198">
        <f t="shared" si="55"/>
        <v>-1559704.133016801</v>
      </c>
    </row>
    <row r="277" spans="8:17" s="130" customFormat="1" x14ac:dyDescent="0.3">
      <c r="H277" s="186">
        <f t="shared" si="50"/>
        <v>259</v>
      </c>
      <c r="I277" s="197">
        <f t="shared" si="51"/>
        <v>-1368400.9989570146</v>
      </c>
      <c r="J277" s="194">
        <f t="shared" si="52"/>
        <v>503075.0152548324</v>
      </c>
      <c r="K277" s="186">
        <f t="shared" si="53"/>
        <v>865325.9837021823</v>
      </c>
      <c r="L277" s="186">
        <f t="shared" si="54"/>
        <v>44987728.072766721</v>
      </c>
      <c r="M277" s="194">
        <f t="shared" ref="M277:M318" si="56">IF(H276&lt;=$J$7,(-L276*$J$10),0)</f>
        <v>-20725.580433523945</v>
      </c>
      <c r="N277" s="194" t="e">
        <f>+-VLOOKUP(D277,#REF!,3,0)*L276</f>
        <v>#REF!</v>
      </c>
      <c r="O277" s="194">
        <f t="shared" ref="O277:O318" si="57">IF(H276&lt;=$J$7,(-$J$5*$J$11),0)</f>
        <v>-170190.67095</v>
      </c>
      <c r="P277" s="195">
        <f t="shared" ref="P277:P318" si="58">+P276+1</f>
        <v>259</v>
      </c>
      <c r="Q277" s="198">
        <f t="shared" si="55"/>
        <v>-1559317.2503405386</v>
      </c>
    </row>
    <row r="278" spans="8:17" s="130" customFormat="1" x14ac:dyDescent="0.3">
      <c r="H278" s="186">
        <f t="shared" si="50"/>
        <v>260</v>
      </c>
      <c r="I278" s="197">
        <f t="shared" si="51"/>
        <v>-1368400.9989570146</v>
      </c>
      <c r="J278" s="194">
        <f t="shared" si="52"/>
        <v>493581.12457711942</v>
      </c>
      <c r="K278" s="186">
        <f t="shared" si="53"/>
        <v>874819.87437989516</v>
      </c>
      <c r="L278" s="186">
        <f t="shared" si="54"/>
        <v>44112908.198386826</v>
      </c>
      <c r="M278" s="194">
        <f t="shared" si="56"/>
        <v>-20334.453088890557</v>
      </c>
      <c r="N278" s="194" t="e">
        <f>+-VLOOKUP(D278,#REF!,3,0)*L277</f>
        <v>#REF!</v>
      </c>
      <c r="O278" s="194">
        <f t="shared" si="57"/>
        <v>-170190.67095</v>
      </c>
      <c r="P278" s="195">
        <f t="shared" si="58"/>
        <v>260</v>
      </c>
      <c r="Q278" s="198">
        <f t="shared" si="55"/>
        <v>-1558926.1229959051</v>
      </c>
    </row>
    <row r="279" spans="8:17" s="130" customFormat="1" x14ac:dyDescent="0.3">
      <c r="H279" s="186">
        <f t="shared" si="50"/>
        <v>261</v>
      </c>
      <c r="I279" s="197">
        <f t="shared" si="51"/>
        <v>-1368400.9989570146</v>
      </c>
      <c r="J279" s="194">
        <f t="shared" si="52"/>
        <v>483983.07204376138</v>
      </c>
      <c r="K279" s="186">
        <f t="shared" si="53"/>
        <v>884417.92691325326</v>
      </c>
      <c r="L279" s="186">
        <f t="shared" si="54"/>
        <v>43228490.271473572</v>
      </c>
      <c r="M279" s="194">
        <f t="shared" si="56"/>
        <v>-19939.034505670843</v>
      </c>
      <c r="N279" s="194" t="e">
        <f>+-VLOOKUP(D279,#REF!,3,0)*L278</f>
        <v>#REF!</v>
      </c>
      <c r="O279" s="194">
        <f t="shared" si="57"/>
        <v>-170190.67095</v>
      </c>
      <c r="P279" s="195">
        <f t="shared" si="58"/>
        <v>261</v>
      </c>
      <c r="Q279" s="198">
        <f t="shared" si="55"/>
        <v>-1558530.7044126855</v>
      </c>
    </row>
    <row r="280" spans="8:17" s="130" customFormat="1" x14ac:dyDescent="0.3">
      <c r="H280" s="186">
        <f t="shared" si="50"/>
        <v>262</v>
      </c>
      <c r="I280" s="197">
        <f t="shared" si="51"/>
        <v>-1368400.9989570146</v>
      </c>
      <c r="J280" s="194">
        <f t="shared" si="52"/>
        <v>474279.71484697366</v>
      </c>
      <c r="K280" s="186">
        <f t="shared" si="53"/>
        <v>894121.28411004099</v>
      </c>
      <c r="L280" s="186">
        <f t="shared" si="54"/>
        <v>42334368.987363532</v>
      </c>
      <c r="M280" s="194">
        <f t="shared" si="56"/>
        <v>-19539.277602706054</v>
      </c>
      <c r="N280" s="194" t="e">
        <f>+-VLOOKUP(D280,#REF!,3,0)*L279</f>
        <v>#REF!</v>
      </c>
      <c r="O280" s="194">
        <f t="shared" si="57"/>
        <v>-170190.67095</v>
      </c>
      <c r="P280" s="195">
        <f t="shared" si="58"/>
        <v>262</v>
      </c>
      <c r="Q280" s="198">
        <f t="shared" si="55"/>
        <v>-1558130.9475097207</v>
      </c>
    </row>
    <row r="281" spans="8:17" s="130" customFormat="1" x14ac:dyDescent="0.3">
      <c r="H281" s="186">
        <f t="shared" si="50"/>
        <v>263</v>
      </c>
      <c r="I281" s="197">
        <f t="shared" si="51"/>
        <v>-1368400.9989570146</v>
      </c>
      <c r="J281" s="194">
        <f t="shared" si="52"/>
        <v>464469.89764070034</v>
      </c>
      <c r="K281" s="186">
        <f t="shared" si="53"/>
        <v>903931.10131631431</v>
      </c>
      <c r="L281" s="186">
        <f t="shared" si="54"/>
        <v>41430437.886047214</v>
      </c>
      <c r="M281" s="194">
        <f t="shared" si="56"/>
        <v>-19135.134782288314</v>
      </c>
      <c r="N281" s="194" t="e">
        <f>+-VLOOKUP(D281,#REF!,3,0)*L280</f>
        <v>#REF!</v>
      </c>
      <c r="O281" s="194">
        <f t="shared" si="57"/>
        <v>-170190.67095</v>
      </c>
      <c r="P281" s="195">
        <f t="shared" si="58"/>
        <v>263</v>
      </c>
      <c r="Q281" s="198">
        <f t="shared" si="55"/>
        <v>-1557726.8046893028</v>
      </c>
    </row>
    <row r="282" spans="8:17" s="130" customFormat="1" x14ac:dyDescent="0.3">
      <c r="H282" s="186">
        <f t="shared" si="50"/>
        <v>264</v>
      </c>
      <c r="I282" s="197">
        <f t="shared" si="51"/>
        <v>-1368400.9989570146</v>
      </c>
      <c r="J282" s="194">
        <f t="shared" si="52"/>
        <v>454552.45240305061</v>
      </c>
      <c r="K282" s="186">
        <f t="shared" si="53"/>
        <v>913848.54655396403</v>
      </c>
      <c r="L282" s="186">
        <f t="shared" si="54"/>
        <v>40516589.339493252</v>
      </c>
      <c r="M282" s="194">
        <f t="shared" si="56"/>
        <v>-18726.55792449334</v>
      </c>
      <c r="N282" s="194" t="e">
        <f>+-VLOOKUP(D282,#REF!,3,0)*L281</f>
        <v>#REF!</v>
      </c>
      <c r="O282" s="194">
        <f t="shared" si="57"/>
        <v>-170190.67095</v>
      </c>
      <c r="P282" s="195">
        <f t="shared" si="58"/>
        <v>264</v>
      </c>
      <c r="Q282" s="198">
        <f t="shared" si="55"/>
        <v>-1557318.227831508</v>
      </c>
    </row>
    <row r="283" spans="8:17" s="130" customFormat="1" x14ac:dyDescent="0.3">
      <c r="H283" s="186">
        <f t="shared" si="50"/>
        <v>265</v>
      </c>
      <c r="I283" s="197">
        <f t="shared" si="51"/>
        <v>-1368400.9989570146</v>
      </c>
      <c r="J283" s="194">
        <f t="shared" si="52"/>
        <v>444526.19829722663</v>
      </c>
      <c r="K283" s="186">
        <f t="shared" si="53"/>
        <v>923874.80065978807</v>
      </c>
      <c r="L283" s="186">
        <f t="shared" si="54"/>
        <v>39592714.538833462</v>
      </c>
      <c r="M283" s="194">
        <f t="shared" si="56"/>
        <v>-18313.498381450951</v>
      </c>
      <c r="N283" s="194" t="e">
        <f>+-VLOOKUP(D283,#REF!,3,0)*L282</f>
        <v>#REF!</v>
      </c>
      <c r="O283" s="194">
        <f t="shared" si="57"/>
        <v>-170190.67095</v>
      </c>
      <c r="P283" s="195">
        <f t="shared" si="58"/>
        <v>265</v>
      </c>
      <c r="Q283" s="198">
        <f t="shared" si="55"/>
        <v>-1556905.1682884656</v>
      </c>
    </row>
    <row r="284" spans="8:17" s="130" customFormat="1" x14ac:dyDescent="0.3">
      <c r="H284" s="186">
        <f t="shared" si="50"/>
        <v>266</v>
      </c>
      <c r="I284" s="197">
        <f t="shared" si="51"/>
        <v>-1368400.9989570146</v>
      </c>
      <c r="J284" s="194">
        <f t="shared" si="52"/>
        <v>434389.94153092493</v>
      </c>
      <c r="K284" s="186">
        <f t="shared" si="53"/>
        <v>934011.05742608965</v>
      </c>
      <c r="L284" s="186">
        <f t="shared" si="54"/>
        <v>38658703.481407374</v>
      </c>
      <c r="M284" s="194">
        <f t="shared" si="56"/>
        <v>-17895.906971552726</v>
      </c>
      <c r="N284" s="194" t="e">
        <f>+-VLOOKUP(D284,#REF!,3,0)*L283</f>
        <v>#REF!</v>
      </c>
      <c r="O284" s="194">
        <f t="shared" si="57"/>
        <v>-170190.67095</v>
      </c>
      <c r="P284" s="195">
        <f t="shared" si="58"/>
        <v>266</v>
      </c>
      <c r="Q284" s="198">
        <f t="shared" si="55"/>
        <v>-1556487.5768785672</v>
      </c>
    </row>
    <row r="285" spans="8:17" s="130" customFormat="1" x14ac:dyDescent="0.3">
      <c r="H285" s="186">
        <f t="shared" si="50"/>
        <v>267</v>
      </c>
      <c r="I285" s="197">
        <f t="shared" si="51"/>
        <v>-1368400.9989570146</v>
      </c>
      <c r="J285" s="194">
        <f t="shared" si="52"/>
        <v>424142.47521419614</v>
      </c>
      <c r="K285" s="186">
        <f t="shared" si="53"/>
        <v>944258.52374281851</v>
      </c>
      <c r="L285" s="186">
        <f t="shared" si="54"/>
        <v>37714444.957664557</v>
      </c>
      <c r="M285" s="194">
        <f t="shared" si="56"/>
        <v>-17473.733973596132</v>
      </c>
      <c r="N285" s="194" t="e">
        <f>+-VLOOKUP(D285,#REF!,3,0)*L284</f>
        <v>#REF!</v>
      </c>
      <c r="O285" s="194">
        <f t="shared" si="57"/>
        <v>-170190.67095</v>
      </c>
      <c r="P285" s="195">
        <f t="shared" si="58"/>
        <v>267</v>
      </c>
      <c r="Q285" s="198">
        <f t="shared" si="55"/>
        <v>-1556065.4038806108</v>
      </c>
    </row>
    <row r="286" spans="8:17" s="130" customFormat="1" x14ac:dyDescent="0.3">
      <c r="H286" s="186">
        <f t="shared" si="50"/>
        <v>268</v>
      </c>
      <c r="I286" s="197">
        <f t="shared" si="51"/>
        <v>-1368400.9989570146</v>
      </c>
      <c r="J286" s="194">
        <f t="shared" si="52"/>
        <v>413782.57921574393</v>
      </c>
      <c r="K286" s="186">
        <f t="shared" si="53"/>
        <v>954618.41974127071</v>
      </c>
      <c r="L286" s="186">
        <f t="shared" si="54"/>
        <v>36759826.537923284</v>
      </c>
      <c r="M286" s="194">
        <f t="shared" si="56"/>
        <v>-17046.929120864377</v>
      </c>
      <c r="N286" s="194" t="e">
        <f>+-VLOOKUP(D286,#REF!,3,0)*L285</f>
        <v>#REF!</v>
      </c>
      <c r="O286" s="194">
        <f t="shared" si="57"/>
        <v>-170190.67095</v>
      </c>
      <c r="P286" s="195">
        <f t="shared" si="58"/>
        <v>268</v>
      </c>
      <c r="Q286" s="198">
        <f t="shared" si="55"/>
        <v>-1555638.5990278791</v>
      </c>
    </row>
    <row r="287" spans="8:17" s="130" customFormat="1" x14ac:dyDescent="0.3">
      <c r="H287" s="186">
        <f t="shared" si="50"/>
        <v>269</v>
      </c>
      <c r="I287" s="197">
        <f t="shared" si="51"/>
        <v>-1368400.9989570146</v>
      </c>
      <c r="J287" s="194">
        <f t="shared" si="52"/>
        <v>403309.02001764876</v>
      </c>
      <c r="K287" s="186">
        <f t="shared" si="53"/>
        <v>965091.97893936583</v>
      </c>
      <c r="L287" s="186">
        <f t="shared" si="54"/>
        <v>35794734.558983915</v>
      </c>
      <c r="M287" s="194">
        <f t="shared" si="56"/>
        <v>-16615.441595141325</v>
      </c>
      <c r="N287" s="194" t="e">
        <f>+-VLOOKUP(D287,#REF!,3,0)*L286</f>
        <v>#REF!</v>
      </c>
      <c r="O287" s="194">
        <f t="shared" si="57"/>
        <v>-170190.67095</v>
      </c>
      <c r="P287" s="195">
        <f t="shared" si="58"/>
        <v>269</v>
      </c>
      <c r="Q287" s="198">
        <f t="shared" si="55"/>
        <v>-1555207.1115021559</v>
      </c>
    </row>
    <row r="288" spans="8:17" s="130" customFormat="1" x14ac:dyDescent="0.3">
      <c r="H288" s="186">
        <f t="shared" si="50"/>
        <v>270</v>
      </c>
      <c r="I288" s="197">
        <f t="shared" si="51"/>
        <v>-1368400.9989570146</v>
      </c>
      <c r="J288" s="194">
        <f t="shared" si="52"/>
        <v>392720.55056849669</v>
      </c>
      <c r="K288" s="186">
        <f t="shared" si="53"/>
        <v>975680.44838851795</v>
      </c>
      <c r="L288" s="186">
        <f t="shared" si="54"/>
        <v>34819054.110595398</v>
      </c>
      <c r="M288" s="194">
        <f t="shared" si="56"/>
        <v>-16179.220020660729</v>
      </c>
      <c r="N288" s="194" t="e">
        <f>+-VLOOKUP(D288,#REF!,3,0)*L287</f>
        <v>#REF!</v>
      </c>
      <c r="O288" s="194">
        <f t="shared" si="57"/>
        <v>-170190.67095</v>
      </c>
      <c r="P288" s="195">
        <f t="shared" si="58"/>
        <v>270</v>
      </c>
      <c r="Q288" s="198">
        <f t="shared" si="55"/>
        <v>-1554770.8899276752</v>
      </c>
    </row>
    <row r="289" spans="8:17" s="130" customFormat="1" x14ac:dyDescent="0.3">
      <c r="H289" s="186">
        <f t="shared" si="50"/>
        <v>271</v>
      </c>
      <c r="I289" s="197">
        <f t="shared" si="51"/>
        <v>-1368400.9989570146</v>
      </c>
      <c r="J289" s="194">
        <f t="shared" si="52"/>
        <v>382015.91013489733</v>
      </c>
      <c r="K289" s="186">
        <f t="shared" si="53"/>
        <v>986385.08882211731</v>
      </c>
      <c r="L289" s="186">
        <f t="shared" si="54"/>
        <v>33832669.021773279</v>
      </c>
      <c r="M289" s="194">
        <f t="shared" si="56"/>
        <v>-15738.212457989119</v>
      </c>
      <c r="N289" s="194" t="e">
        <f>+-VLOOKUP(D289,#REF!,3,0)*L288</f>
        <v>#REF!</v>
      </c>
      <c r="O289" s="194">
        <f t="shared" si="57"/>
        <v>-170190.67095</v>
      </c>
      <c r="P289" s="195">
        <f t="shared" si="58"/>
        <v>271</v>
      </c>
      <c r="Q289" s="198">
        <f t="shared" si="55"/>
        <v>-1554329.8823650037</v>
      </c>
    </row>
    <row r="290" spans="8:17" s="130" customFormat="1" x14ac:dyDescent="0.3">
      <c r="H290" s="186">
        <f t="shared" si="50"/>
        <v>272</v>
      </c>
      <c r="I290" s="197">
        <f t="shared" si="51"/>
        <v>-1368400.9989570146</v>
      </c>
      <c r="J290" s="194">
        <f t="shared" si="52"/>
        <v>371193.8241513723</v>
      </c>
      <c r="K290" s="186">
        <f t="shared" si="53"/>
        <v>997207.17480564234</v>
      </c>
      <c r="L290" s="186">
        <f t="shared" si="54"/>
        <v>32835461.846967638</v>
      </c>
      <c r="M290" s="194">
        <f t="shared" si="56"/>
        <v>-15292.366397841521</v>
      </c>
      <c r="N290" s="194" t="e">
        <f>+-VLOOKUP(D290,#REF!,3,0)*L289</f>
        <v>#REF!</v>
      </c>
      <c r="O290" s="194">
        <f t="shared" si="57"/>
        <v>-170190.67095</v>
      </c>
      <c r="P290" s="195">
        <f t="shared" si="58"/>
        <v>272</v>
      </c>
      <c r="Q290" s="198">
        <f t="shared" si="55"/>
        <v>-1553884.0363048562</v>
      </c>
    </row>
    <row r="291" spans="8:17" s="130" customFormat="1" x14ac:dyDescent="0.3">
      <c r="H291" s="186">
        <f t="shared" si="50"/>
        <v>273</v>
      </c>
      <c r="I291" s="197">
        <f t="shared" si="51"/>
        <v>-1368400.9989570146</v>
      </c>
      <c r="J291" s="194">
        <f t="shared" si="52"/>
        <v>360253.00406859745</v>
      </c>
      <c r="K291" s="186">
        <f t="shared" si="53"/>
        <v>1008147.9948884172</v>
      </c>
      <c r="L291" s="186">
        <f t="shared" si="54"/>
        <v>31827313.85207922</v>
      </c>
      <c r="M291" s="194">
        <f t="shared" si="56"/>
        <v>-14841.628754829371</v>
      </c>
      <c r="N291" s="194" t="e">
        <f>+-VLOOKUP(D291,#REF!,3,0)*L290</f>
        <v>#REF!</v>
      </c>
      <c r="O291" s="194">
        <f t="shared" si="57"/>
        <v>-170190.67095</v>
      </c>
      <c r="P291" s="195">
        <f t="shared" si="58"/>
        <v>273</v>
      </c>
      <c r="Q291" s="198">
        <f t="shared" si="55"/>
        <v>-1553433.2986618439</v>
      </c>
    </row>
    <row r="292" spans="8:17" s="130" customFormat="1" x14ac:dyDescent="0.3">
      <c r="H292" s="186">
        <f t="shared" si="50"/>
        <v>274</v>
      </c>
      <c r="I292" s="197">
        <f t="shared" si="51"/>
        <v>-1368400.9989570146</v>
      </c>
      <c r="J292" s="194">
        <f t="shared" si="52"/>
        <v>349192.14719997917</v>
      </c>
      <c r="K292" s="186">
        <f t="shared" si="53"/>
        <v>1019208.8517570355</v>
      </c>
      <c r="L292" s="186">
        <f t="shared" si="54"/>
        <v>30808105.000322185</v>
      </c>
      <c r="M292" s="194">
        <f t="shared" si="56"/>
        <v>-14385.945861139808</v>
      </c>
      <c r="N292" s="194" t="e">
        <f>+-VLOOKUP(D292,#REF!,3,0)*L291</f>
        <v>#REF!</v>
      </c>
      <c r="O292" s="194">
        <f t="shared" si="57"/>
        <v>-170190.67095</v>
      </c>
      <c r="P292" s="195">
        <f t="shared" si="58"/>
        <v>274</v>
      </c>
      <c r="Q292" s="198">
        <f t="shared" si="55"/>
        <v>-1552977.6157681544</v>
      </c>
    </row>
    <row r="293" spans="8:17" s="130" customFormat="1" x14ac:dyDescent="0.3">
      <c r="H293" s="186">
        <f t="shared" si="50"/>
        <v>275</v>
      </c>
      <c r="I293" s="197">
        <f t="shared" si="51"/>
        <v>-1368400.9989570146</v>
      </c>
      <c r="J293" s="194">
        <f t="shared" si="52"/>
        <v>338009.93656654825</v>
      </c>
      <c r="K293" s="186">
        <f t="shared" si="53"/>
        <v>1030391.0623904665</v>
      </c>
      <c r="L293" s="186">
        <f t="shared" si="54"/>
        <v>29777713.93793172</v>
      </c>
      <c r="M293" s="194">
        <f t="shared" si="56"/>
        <v>-13925.263460145627</v>
      </c>
      <c r="N293" s="194" t="e">
        <f>+-VLOOKUP(D293,#REF!,3,0)*L292</f>
        <v>#REF!</v>
      </c>
      <c r="O293" s="194">
        <f t="shared" si="57"/>
        <v>-170190.67095</v>
      </c>
      <c r="P293" s="195">
        <f t="shared" si="58"/>
        <v>275</v>
      </c>
      <c r="Q293" s="198">
        <f t="shared" si="55"/>
        <v>-1552516.9333671601</v>
      </c>
    </row>
    <row r="294" spans="8:17" s="130" customFormat="1" x14ac:dyDescent="0.3">
      <c r="H294" s="186">
        <f t="shared" si="50"/>
        <v>276</v>
      </c>
      <c r="I294" s="197">
        <f t="shared" si="51"/>
        <v>-1368400.9989570146</v>
      </c>
      <c r="J294" s="194">
        <f t="shared" si="52"/>
        <v>326705.04074015137</v>
      </c>
      <c r="K294" s="186">
        <f t="shared" si="53"/>
        <v>1041695.9582168632</v>
      </c>
      <c r="L294" s="186">
        <f t="shared" si="54"/>
        <v>28736017.979714856</v>
      </c>
      <c r="M294" s="194">
        <f t="shared" si="56"/>
        <v>-13459.526699945138</v>
      </c>
      <c r="N294" s="194" t="e">
        <f>+-VLOOKUP(D294,#REF!,3,0)*L293</f>
        <v>#REF!</v>
      </c>
      <c r="O294" s="194">
        <f t="shared" si="57"/>
        <v>-170190.67095</v>
      </c>
      <c r="P294" s="195">
        <f t="shared" si="58"/>
        <v>276</v>
      </c>
      <c r="Q294" s="198">
        <f t="shared" si="55"/>
        <v>-1552051.1966069597</v>
      </c>
    </row>
    <row r="295" spans="8:17" s="130" customFormat="1" x14ac:dyDescent="0.3">
      <c r="H295" s="186">
        <f t="shared" si="50"/>
        <v>277</v>
      </c>
      <c r="I295" s="197">
        <f t="shared" si="51"/>
        <v>-1368400.9989570146</v>
      </c>
      <c r="J295" s="194">
        <f t="shared" si="52"/>
        <v>315276.11368492251</v>
      </c>
      <c r="K295" s="186">
        <f t="shared" si="53"/>
        <v>1053124.8852720922</v>
      </c>
      <c r="L295" s="186">
        <f t="shared" si="54"/>
        <v>27682893.094442762</v>
      </c>
      <c r="M295" s="194">
        <f t="shared" si="56"/>
        <v>-12988.680126831114</v>
      </c>
      <c r="N295" s="194" t="e">
        <f>+-VLOOKUP(D295,#REF!,3,0)*L294</f>
        <v>#REF!</v>
      </c>
      <c r="O295" s="194">
        <f t="shared" si="57"/>
        <v>-170190.67095</v>
      </c>
      <c r="P295" s="195">
        <f t="shared" si="58"/>
        <v>277</v>
      </c>
      <c r="Q295" s="198">
        <f t="shared" si="55"/>
        <v>-1551580.3500338458</v>
      </c>
    </row>
    <row r="296" spans="8:17" s="130" customFormat="1" x14ac:dyDescent="0.3">
      <c r="H296" s="186">
        <f t="shared" si="50"/>
        <v>278</v>
      </c>
      <c r="I296" s="197">
        <f t="shared" si="51"/>
        <v>-1368400.9989570146</v>
      </c>
      <c r="J296" s="194">
        <f t="shared" si="52"/>
        <v>303721.79459701531</v>
      </c>
      <c r="K296" s="186">
        <f t="shared" si="53"/>
        <v>1064679.2043599994</v>
      </c>
      <c r="L296" s="186">
        <f t="shared" si="54"/>
        <v>26618213.890082762</v>
      </c>
      <c r="M296" s="194">
        <f t="shared" si="56"/>
        <v>-12512.667678688129</v>
      </c>
      <c r="N296" s="194" t="e">
        <f>+-VLOOKUP(D296,#REF!,3,0)*L295</f>
        <v>#REF!</v>
      </c>
      <c r="O296" s="194">
        <f t="shared" si="57"/>
        <v>-170190.67095</v>
      </c>
      <c r="P296" s="195">
        <f t="shared" si="58"/>
        <v>278</v>
      </c>
      <c r="Q296" s="198">
        <f t="shared" si="55"/>
        <v>-1551104.3375857028</v>
      </c>
    </row>
    <row r="297" spans="8:17" s="130" customFormat="1" x14ac:dyDescent="0.3">
      <c r="H297" s="186">
        <f t="shared" si="50"/>
        <v>279</v>
      </c>
      <c r="I297" s="197">
        <f t="shared" si="51"/>
        <v>-1368400.9989570146</v>
      </c>
      <c r="J297" s="194">
        <f t="shared" si="52"/>
        <v>292040.70774257608</v>
      </c>
      <c r="K297" s="186">
        <f t="shared" si="53"/>
        <v>1076360.2912144386</v>
      </c>
      <c r="L297" s="186">
        <f t="shared" si="54"/>
        <v>25541853.598868322</v>
      </c>
      <c r="M297" s="194">
        <f t="shared" si="56"/>
        <v>-12031.432678317407</v>
      </c>
      <c r="N297" s="194" t="e">
        <f>+-VLOOKUP(D297,#REF!,3,0)*L296</f>
        <v>#REF!</v>
      </c>
      <c r="O297" s="194">
        <f t="shared" si="57"/>
        <v>-170190.67095</v>
      </c>
      <c r="P297" s="195">
        <f t="shared" si="58"/>
        <v>279</v>
      </c>
      <c r="Q297" s="198">
        <f t="shared" si="55"/>
        <v>-1550623.102585332</v>
      </c>
    </row>
    <row r="298" spans="8:17" s="130" customFormat="1" x14ac:dyDescent="0.3">
      <c r="H298" s="186">
        <f t="shared" si="50"/>
        <v>280</v>
      </c>
      <c r="I298" s="197">
        <f t="shared" si="51"/>
        <v>-1368400.9989570146</v>
      </c>
      <c r="J298" s="194">
        <f t="shared" si="52"/>
        <v>280231.46229394042</v>
      </c>
      <c r="K298" s="186">
        <f t="shared" si="53"/>
        <v>1088169.5366630743</v>
      </c>
      <c r="L298" s="186">
        <f t="shared" si="54"/>
        <v>24453684.062205248</v>
      </c>
      <c r="M298" s="194">
        <f t="shared" si="56"/>
        <v>-11544.917826688481</v>
      </c>
      <c r="N298" s="194" t="e">
        <f>+-VLOOKUP(D298,#REF!,3,0)*L297</f>
        <v>#REF!</v>
      </c>
      <c r="O298" s="194">
        <f t="shared" si="57"/>
        <v>-170190.67095</v>
      </c>
      <c r="P298" s="195">
        <f t="shared" si="58"/>
        <v>280</v>
      </c>
      <c r="Q298" s="198">
        <f t="shared" si="55"/>
        <v>-1550136.587733703</v>
      </c>
    </row>
    <row r="299" spans="8:17" s="130" customFormat="1" x14ac:dyDescent="0.3">
      <c r="H299" s="186">
        <f t="shared" si="50"/>
        <v>281</v>
      </c>
      <c r="I299" s="197">
        <f t="shared" si="51"/>
        <v>-1368400.9989570146</v>
      </c>
      <c r="J299" s="194">
        <f t="shared" si="52"/>
        <v>268292.65216403175</v>
      </c>
      <c r="K299" s="186">
        <f t="shared" si="53"/>
        <v>1100108.3467929829</v>
      </c>
      <c r="L299" s="186">
        <f t="shared" si="54"/>
        <v>23353575.715412267</v>
      </c>
      <c r="M299" s="194">
        <f t="shared" si="56"/>
        <v>-11053.065196116771</v>
      </c>
      <c r="N299" s="194" t="e">
        <f>+-VLOOKUP(D299,#REF!,3,0)*L298</f>
        <v>#REF!</v>
      </c>
      <c r="O299" s="194">
        <f t="shared" si="57"/>
        <v>-170190.67095</v>
      </c>
      <c r="P299" s="195">
        <f t="shared" si="58"/>
        <v>281</v>
      </c>
      <c r="Q299" s="198">
        <f t="shared" si="55"/>
        <v>-1549644.7351031313</v>
      </c>
    </row>
    <row r="300" spans="8:17" s="130" customFormat="1" x14ac:dyDescent="0.3">
      <c r="H300" s="186">
        <f t="shared" si="50"/>
        <v>282</v>
      </c>
      <c r="I300" s="197">
        <f t="shared" si="51"/>
        <v>-1368400.9989570146</v>
      </c>
      <c r="J300" s="194">
        <f t="shared" si="52"/>
        <v>256222.85583894336</v>
      </c>
      <c r="K300" s="186">
        <f t="shared" si="53"/>
        <v>1112178.1431180714</v>
      </c>
      <c r="L300" s="186">
        <f t="shared" si="54"/>
        <v>22241397.572294194</v>
      </c>
      <c r="M300" s="194">
        <f t="shared" si="56"/>
        <v>-10555.816223366344</v>
      </c>
      <c r="N300" s="194" t="e">
        <f>+-VLOOKUP(D300,#REF!,3,0)*L299</f>
        <v>#REF!</v>
      </c>
      <c r="O300" s="194">
        <f t="shared" si="57"/>
        <v>-170190.67095</v>
      </c>
      <c r="P300" s="195">
        <f t="shared" si="58"/>
        <v>282</v>
      </c>
      <c r="Q300" s="198">
        <f t="shared" si="55"/>
        <v>-1549147.486130381</v>
      </c>
    </row>
    <row r="301" spans="8:17" s="130" customFormat="1" x14ac:dyDescent="0.3">
      <c r="H301" s="186">
        <f t="shared" si="50"/>
        <v>283</v>
      </c>
      <c r="I301" s="197">
        <f t="shared" si="51"/>
        <v>-1368400.9989570146</v>
      </c>
      <c r="J301" s="194">
        <f t="shared" si="52"/>
        <v>244020.63620868343</v>
      </c>
      <c r="K301" s="186">
        <f t="shared" si="53"/>
        <v>1124380.3627483312</v>
      </c>
      <c r="L301" s="186">
        <f t="shared" si="54"/>
        <v>21117017.209545862</v>
      </c>
      <c r="M301" s="194">
        <f t="shared" si="56"/>
        <v>-10053.111702676975</v>
      </c>
      <c r="N301" s="194" t="e">
        <f>+-VLOOKUP(D301,#REF!,3,0)*L300</f>
        <v>#REF!</v>
      </c>
      <c r="O301" s="194">
        <f t="shared" si="57"/>
        <v>-170190.67095</v>
      </c>
      <c r="P301" s="195">
        <f t="shared" si="58"/>
        <v>283</v>
      </c>
      <c r="Q301" s="198">
        <f t="shared" si="55"/>
        <v>-1548644.7816096914</v>
      </c>
    </row>
    <row r="302" spans="8:17" s="130" customFormat="1" x14ac:dyDescent="0.3">
      <c r="H302" s="186">
        <f t="shared" si="50"/>
        <v>284</v>
      </c>
      <c r="I302" s="197">
        <f t="shared" si="51"/>
        <v>-1368400.9989570146</v>
      </c>
      <c r="J302" s="194">
        <f t="shared" si="52"/>
        <v>231684.54039606327</v>
      </c>
      <c r="K302" s="186">
        <f t="shared" si="53"/>
        <v>1136716.4585609513</v>
      </c>
      <c r="L302" s="186">
        <f t="shared" si="54"/>
        <v>19980300.750984911</v>
      </c>
      <c r="M302" s="194">
        <f t="shared" si="56"/>
        <v>-9544.8917787147293</v>
      </c>
      <c r="N302" s="194" t="e">
        <f>+-VLOOKUP(D302,#REF!,3,0)*L301</f>
        <v>#REF!</v>
      </c>
      <c r="O302" s="194">
        <f t="shared" si="57"/>
        <v>-170190.67095</v>
      </c>
      <c r="P302" s="195">
        <f t="shared" si="58"/>
        <v>284</v>
      </c>
      <c r="Q302" s="198">
        <f t="shared" si="55"/>
        <v>-1548136.5616857293</v>
      </c>
    </row>
    <row r="303" spans="8:17" s="130" customFormat="1" x14ac:dyDescent="0.3">
      <c r="H303" s="186">
        <f t="shared" si="50"/>
        <v>285</v>
      </c>
      <c r="I303" s="197">
        <f t="shared" si="51"/>
        <v>-1368400.9989570146</v>
      </c>
      <c r="J303" s="194">
        <f t="shared" si="52"/>
        <v>219213.09958370822</v>
      </c>
      <c r="K303" s="186">
        <f t="shared" si="53"/>
        <v>1149187.8993733064</v>
      </c>
      <c r="L303" s="186">
        <f t="shared" si="54"/>
        <v>18831112.851611603</v>
      </c>
      <c r="M303" s="194">
        <f t="shared" si="56"/>
        <v>-9031.0959394451802</v>
      </c>
      <c r="N303" s="194" t="e">
        <f>+-VLOOKUP(D303,#REF!,3,0)*L302</f>
        <v>#REF!</v>
      </c>
      <c r="O303" s="194">
        <f t="shared" si="57"/>
        <v>-170190.67095</v>
      </c>
      <c r="P303" s="195">
        <f t="shared" si="58"/>
        <v>285</v>
      </c>
      <c r="Q303" s="198">
        <f t="shared" si="55"/>
        <v>-1547622.7658464597</v>
      </c>
    </row>
    <row r="304" spans="8:17" s="130" customFormat="1" x14ac:dyDescent="0.3">
      <c r="H304" s="186">
        <f t="shared" si="50"/>
        <v>286</v>
      </c>
      <c r="I304" s="197">
        <f t="shared" si="51"/>
        <v>-1368400.9989570146</v>
      </c>
      <c r="J304" s="194">
        <f t="shared" si="52"/>
        <v>206604.82883917022</v>
      </c>
      <c r="K304" s="186">
        <f t="shared" si="53"/>
        <v>1161796.1701178444</v>
      </c>
      <c r="L304" s="186">
        <f t="shared" si="54"/>
        <v>17669316.681493759</v>
      </c>
      <c r="M304" s="194">
        <f t="shared" si="56"/>
        <v>-8511.6630089284445</v>
      </c>
      <c r="N304" s="194" t="e">
        <f>+-VLOOKUP(D304,#REF!,3,0)*L303</f>
        <v>#REF!</v>
      </c>
      <c r="O304" s="194">
        <f t="shared" si="57"/>
        <v>-170190.67095</v>
      </c>
      <c r="P304" s="195">
        <f t="shared" si="58"/>
        <v>286</v>
      </c>
      <c r="Q304" s="198">
        <f t="shared" si="55"/>
        <v>-1547103.3329159431</v>
      </c>
    </row>
    <row r="305" spans="8:17" s="130" customFormat="1" x14ac:dyDescent="0.3">
      <c r="H305" s="186">
        <f t="shared" si="50"/>
        <v>287</v>
      </c>
      <c r="I305" s="197">
        <f t="shared" si="51"/>
        <v>-1368400.9989570146</v>
      </c>
      <c r="J305" s="194">
        <f t="shared" si="52"/>
        <v>193858.22693812227</v>
      </c>
      <c r="K305" s="186">
        <f t="shared" si="53"/>
        <v>1174542.7720188925</v>
      </c>
      <c r="L305" s="186">
        <f t="shared" si="54"/>
        <v>16494773.909474866</v>
      </c>
      <c r="M305" s="194">
        <f t="shared" si="56"/>
        <v>-7986.5311400351784</v>
      </c>
      <c r="N305" s="194" t="e">
        <f>+-VLOOKUP(D305,#REF!,3,0)*L304</f>
        <v>#REF!</v>
      </c>
      <c r="O305" s="194">
        <f t="shared" si="57"/>
        <v>-170190.67095</v>
      </c>
      <c r="P305" s="195">
        <f t="shared" si="58"/>
        <v>287</v>
      </c>
      <c r="Q305" s="198">
        <f t="shared" si="55"/>
        <v>-1546578.2010470498</v>
      </c>
    </row>
    <row r="306" spans="8:17" s="130" customFormat="1" x14ac:dyDescent="0.3">
      <c r="H306" s="186">
        <f t="shared" si="50"/>
        <v>288</v>
      </c>
      <c r="I306" s="197">
        <f t="shared" si="51"/>
        <v>-1368400.9989570146</v>
      </c>
      <c r="J306" s="194">
        <f t="shared" si="52"/>
        <v>180971.77618561246</v>
      </c>
      <c r="K306" s="186">
        <f t="shared" si="53"/>
        <v>1187429.2227714022</v>
      </c>
      <c r="L306" s="186">
        <f t="shared" si="54"/>
        <v>15307344.686703464</v>
      </c>
      <c r="M306" s="194">
        <f t="shared" si="56"/>
        <v>-7455.6378070826395</v>
      </c>
      <c r="N306" s="194" t="e">
        <f>+-VLOOKUP(D306,#REF!,3,0)*L305</f>
        <v>#REF!</v>
      </c>
      <c r="O306" s="194">
        <f t="shared" si="57"/>
        <v>-170190.67095</v>
      </c>
      <c r="P306" s="195">
        <f t="shared" si="58"/>
        <v>288</v>
      </c>
      <c r="Q306" s="198">
        <f t="shared" si="55"/>
        <v>-1546047.3077140972</v>
      </c>
    </row>
    <row r="307" spans="8:17" s="130" customFormat="1" x14ac:dyDescent="0.3">
      <c r="H307" s="186">
        <f t="shared" si="50"/>
        <v>289</v>
      </c>
      <c r="I307" s="197">
        <f t="shared" si="51"/>
        <v>-1368400.9989570146</v>
      </c>
      <c r="J307" s="194">
        <f t="shared" si="52"/>
        <v>167943.94223535716</v>
      </c>
      <c r="K307" s="186">
        <f t="shared" si="53"/>
        <v>1200457.0567216575</v>
      </c>
      <c r="L307" s="186">
        <f t="shared" si="54"/>
        <v>14106887.629981807</v>
      </c>
      <c r="M307" s="194">
        <f t="shared" si="56"/>
        <v>-6918.9197983899658</v>
      </c>
      <c r="N307" s="194" t="e">
        <f>+-VLOOKUP(D307,#REF!,3,0)*L306</f>
        <v>#REF!</v>
      </c>
      <c r="O307" s="194">
        <f t="shared" si="57"/>
        <v>-170190.67095</v>
      </c>
      <c r="P307" s="195">
        <f t="shared" si="58"/>
        <v>289</v>
      </c>
      <c r="Q307" s="198">
        <f t="shared" si="55"/>
        <v>-1545510.5897054046</v>
      </c>
    </row>
    <row r="308" spans="8:17" s="130" customFormat="1" x14ac:dyDescent="0.3">
      <c r="H308" s="186">
        <f t="shared" si="50"/>
        <v>290</v>
      </c>
      <c r="I308" s="197">
        <f t="shared" si="51"/>
        <v>-1368400.9989570146</v>
      </c>
      <c r="J308" s="194">
        <f t="shared" si="52"/>
        <v>154773.17390705171</v>
      </c>
      <c r="K308" s="186">
        <f t="shared" si="53"/>
        <v>1213627.8250499628</v>
      </c>
      <c r="L308" s="186">
        <f t="shared" si="54"/>
        <v>12893259.804931844</v>
      </c>
      <c r="M308" s="194">
        <f t="shared" si="56"/>
        <v>-6376.3132087517761</v>
      </c>
      <c r="N308" s="194" t="e">
        <f>+-VLOOKUP(D308,#REF!,3,0)*L307</f>
        <v>#REF!</v>
      </c>
      <c r="O308" s="194">
        <f t="shared" si="57"/>
        <v>-170190.67095</v>
      </c>
      <c r="P308" s="195">
        <f t="shared" si="58"/>
        <v>290</v>
      </c>
      <c r="Q308" s="198">
        <f t="shared" si="55"/>
        <v>-1544967.9831157664</v>
      </c>
    </row>
    <row r="309" spans="8:17" s="130" customFormat="1" x14ac:dyDescent="0.3">
      <c r="H309" s="186">
        <f t="shared" si="50"/>
        <v>291</v>
      </c>
      <c r="I309" s="197">
        <f t="shared" si="51"/>
        <v>-1368400.9989570146</v>
      </c>
      <c r="J309" s="194">
        <f t="shared" si="52"/>
        <v>141457.90300167643</v>
      </c>
      <c r="K309" s="186">
        <f t="shared" si="53"/>
        <v>1226943.0959553383</v>
      </c>
      <c r="L309" s="186">
        <f t="shared" si="54"/>
        <v>11666316.708976505</v>
      </c>
      <c r="M309" s="194">
        <f t="shared" si="56"/>
        <v>-5827.7534318291928</v>
      </c>
      <c r="N309" s="194" t="e">
        <f>+-VLOOKUP(D309,#REF!,3,0)*L308</f>
        <v>#REF!</v>
      </c>
      <c r="O309" s="194">
        <f t="shared" si="57"/>
        <v>-170190.67095</v>
      </c>
      <c r="P309" s="195">
        <f t="shared" si="58"/>
        <v>291</v>
      </c>
      <c r="Q309" s="198">
        <f t="shared" si="55"/>
        <v>-1544419.4233388437</v>
      </c>
    </row>
    <row r="310" spans="8:17" s="130" customFormat="1" x14ac:dyDescent="0.3">
      <c r="H310" s="186">
        <f t="shared" si="50"/>
        <v>292</v>
      </c>
      <c r="I310" s="197">
        <f t="shared" si="51"/>
        <v>-1368400.9989570146</v>
      </c>
      <c r="J310" s="194">
        <f t="shared" si="52"/>
        <v>127996.54411477667</v>
      </c>
      <c r="K310" s="186">
        <f t="shared" si="53"/>
        <v>1240404.454842238</v>
      </c>
      <c r="L310" s="186">
        <f t="shared" si="54"/>
        <v>10425912.254134268</v>
      </c>
      <c r="M310" s="194">
        <f t="shared" si="56"/>
        <v>-5273.1751524573801</v>
      </c>
      <c r="N310" s="194" t="e">
        <f>+-VLOOKUP(D310,#REF!,3,0)*L309</f>
        <v>#REF!</v>
      </c>
      <c r="O310" s="194">
        <f t="shared" si="57"/>
        <v>-170190.67095</v>
      </c>
      <c r="P310" s="195">
        <f t="shared" si="58"/>
        <v>292</v>
      </c>
      <c r="Q310" s="198">
        <f t="shared" si="55"/>
        <v>-1543864.8450594719</v>
      </c>
    </row>
    <row r="311" spans="8:17" s="130" customFormat="1" x14ac:dyDescent="0.3">
      <c r="H311" s="186">
        <f t="shared" si="50"/>
        <v>293</v>
      </c>
      <c r="I311" s="197">
        <f t="shared" si="51"/>
        <v>-1368400.9989570146</v>
      </c>
      <c r="J311" s="194">
        <f t="shared" si="52"/>
        <v>114387.49444769381</v>
      </c>
      <c r="K311" s="186">
        <f t="shared" si="53"/>
        <v>1254013.5045093209</v>
      </c>
      <c r="L311" s="186">
        <f t="shared" si="54"/>
        <v>9171898.7496249471</v>
      </c>
      <c r="M311" s="194">
        <f t="shared" si="56"/>
        <v>-4712.5123388686889</v>
      </c>
      <c r="N311" s="194" t="e">
        <f>+-VLOOKUP(D311,#REF!,3,0)*L310</f>
        <v>#REF!</v>
      </c>
      <c r="O311" s="194">
        <f t="shared" si="57"/>
        <v>-170190.67095</v>
      </c>
      <c r="P311" s="195">
        <f t="shared" si="58"/>
        <v>293</v>
      </c>
      <c r="Q311" s="198">
        <f t="shared" si="55"/>
        <v>-1543304.1822458832</v>
      </c>
    </row>
    <row r="312" spans="8:17" s="130" customFormat="1" x14ac:dyDescent="0.3">
      <c r="H312" s="186">
        <f t="shared" si="50"/>
        <v>294</v>
      </c>
      <c r="I312" s="197">
        <f t="shared" si="51"/>
        <v>-1368400.9989570146</v>
      </c>
      <c r="J312" s="194">
        <f t="shared" si="52"/>
        <v>100629.13361672554</v>
      </c>
      <c r="K312" s="186">
        <f t="shared" si="53"/>
        <v>1267771.8653402892</v>
      </c>
      <c r="L312" s="186">
        <f t="shared" si="54"/>
        <v>7904126.8842846584</v>
      </c>
      <c r="M312" s="194">
        <f t="shared" si="56"/>
        <v>-4145.6982348304755</v>
      </c>
      <c r="N312" s="194" t="e">
        <f>+-VLOOKUP(D312,#REF!,3,0)*L311</f>
        <v>#REF!</v>
      </c>
      <c r="O312" s="194">
        <f t="shared" si="57"/>
        <v>-170190.67095</v>
      </c>
      <c r="P312" s="195">
        <f t="shared" si="58"/>
        <v>294</v>
      </c>
      <c r="Q312" s="198">
        <f t="shared" si="55"/>
        <v>-1542737.3681418451</v>
      </c>
    </row>
    <row r="313" spans="8:17" s="130" customFormat="1" x14ac:dyDescent="0.3">
      <c r="H313" s="186">
        <f t="shared" si="50"/>
        <v>295</v>
      </c>
      <c r="I313" s="197">
        <f t="shared" si="51"/>
        <v>-1368400.9989570146</v>
      </c>
      <c r="J313" s="194">
        <f t="shared" si="52"/>
        <v>86719.823460192245</v>
      </c>
      <c r="K313" s="186">
        <f t="shared" si="53"/>
        <v>1281681.1754968225</v>
      </c>
      <c r="L313" s="186">
        <f t="shared" si="54"/>
        <v>6622445.7087878361</v>
      </c>
      <c r="M313" s="194">
        <f t="shared" si="56"/>
        <v>-3572.6653516966653</v>
      </c>
      <c r="N313" s="194" t="e">
        <f>+-VLOOKUP(D313,#REF!,3,0)*L312</f>
        <v>#REF!</v>
      </c>
      <c r="O313" s="194">
        <f t="shared" si="57"/>
        <v>-170190.67095</v>
      </c>
      <c r="P313" s="195">
        <f t="shared" si="58"/>
        <v>295</v>
      </c>
      <c r="Q313" s="198">
        <f t="shared" si="55"/>
        <v>-1542164.3352587114</v>
      </c>
    </row>
    <row r="314" spans="8:17" s="130" customFormat="1" x14ac:dyDescent="0.3">
      <c r="H314" s="186">
        <f t="shared" si="50"/>
        <v>296</v>
      </c>
      <c r="I314" s="197">
        <f t="shared" si="51"/>
        <v>-1368400.9989570146</v>
      </c>
      <c r="J314" s="194">
        <f t="shared" si="52"/>
        <v>72657.907843386565</v>
      </c>
      <c r="K314" s="186">
        <f t="shared" si="53"/>
        <v>1295743.0911136281</v>
      </c>
      <c r="L314" s="186">
        <f t="shared" si="54"/>
        <v>5326702.6176742082</v>
      </c>
      <c r="M314" s="194">
        <f t="shared" si="56"/>
        <v>-2993.345460372102</v>
      </c>
      <c r="N314" s="194" t="e">
        <f>+-VLOOKUP(D314,#REF!,3,0)*L313</f>
        <v>#REF!</v>
      </c>
      <c r="O314" s="194">
        <f t="shared" si="57"/>
        <v>-170190.67095</v>
      </c>
      <c r="P314" s="195">
        <f t="shared" si="58"/>
        <v>296</v>
      </c>
      <c r="Q314" s="198">
        <f t="shared" si="55"/>
        <v>-1541585.0153673866</v>
      </c>
    </row>
    <row r="315" spans="8:17" s="130" customFormat="1" x14ac:dyDescent="0.3">
      <c r="H315" s="186">
        <f t="shared" si="50"/>
        <v>297</v>
      </c>
      <c r="I315" s="197">
        <f t="shared" si="51"/>
        <v>-1368400.9989570146</v>
      </c>
      <c r="J315" s="194">
        <f t="shared" si="52"/>
        <v>58441.712461383016</v>
      </c>
      <c r="K315" s="186">
        <f t="shared" si="53"/>
        <v>1309959.2864956316</v>
      </c>
      <c r="L315" s="186">
        <f t="shared" si="54"/>
        <v>4016743.3311785767</v>
      </c>
      <c r="M315" s="194">
        <f t="shared" si="56"/>
        <v>-2407.6695831887419</v>
      </c>
      <c r="N315" s="194" t="e">
        <f>+-VLOOKUP(D315,#REF!,3,0)*L314</f>
        <v>#REF!</v>
      </c>
      <c r="O315" s="194">
        <f t="shared" si="57"/>
        <v>-170190.67095</v>
      </c>
      <c r="P315" s="195">
        <f t="shared" si="58"/>
        <v>297</v>
      </c>
      <c r="Q315" s="198">
        <f t="shared" si="55"/>
        <v>-1540999.3394902034</v>
      </c>
    </row>
    <row r="316" spans="8:17" s="130" customFormat="1" x14ac:dyDescent="0.3">
      <c r="H316" s="186">
        <f t="shared" si="50"/>
        <v>298</v>
      </c>
      <c r="I316" s="197">
        <f t="shared" si="51"/>
        <v>-1368400.9989570146</v>
      </c>
      <c r="J316" s="194">
        <f t="shared" si="52"/>
        <v>44069.544639684194</v>
      </c>
      <c r="K316" s="186">
        <f t="shared" si="53"/>
        <v>1324331.4543173304</v>
      </c>
      <c r="L316" s="186">
        <f t="shared" si="54"/>
        <v>2692411.8768612463</v>
      </c>
      <c r="M316" s="194">
        <f t="shared" si="56"/>
        <v>-1815.5679856927165</v>
      </c>
      <c r="N316" s="194" t="e">
        <f>+-VLOOKUP(D316,#REF!,3,0)*L315</f>
        <v>#REF!</v>
      </c>
      <c r="O316" s="194">
        <f t="shared" si="57"/>
        <v>-170190.67095</v>
      </c>
      <c r="P316" s="195">
        <f t="shared" si="58"/>
        <v>298</v>
      </c>
      <c r="Q316" s="198">
        <f t="shared" si="55"/>
        <v>-1540407.2378927073</v>
      </c>
    </row>
    <row r="317" spans="8:17" s="130" customFormat="1" x14ac:dyDescent="0.3">
      <c r="H317" s="186">
        <f t="shared" si="50"/>
        <v>299</v>
      </c>
      <c r="I317" s="197">
        <f t="shared" si="51"/>
        <v>-1368400.9989570146</v>
      </c>
      <c r="J317" s="194">
        <f t="shared" si="52"/>
        <v>29539.693132679655</v>
      </c>
      <c r="K317" s="186">
        <f t="shared" si="53"/>
        <v>1338861.305824335</v>
      </c>
      <c r="L317" s="186">
        <f t="shared" si="54"/>
        <v>1353550.5710369113</v>
      </c>
      <c r="M317" s="194">
        <f t="shared" si="56"/>
        <v>-1216.9701683412832</v>
      </c>
      <c r="N317" s="194" t="e">
        <f>+-VLOOKUP(D317,#REF!,3,0)*L316</f>
        <v>#REF!</v>
      </c>
      <c r="O317" s="194">
        <f t="shared" si="57"/>
        <v>-170190.67095</v>
      </c>
      <c r="P317" s="195">
        <f t="shared" si="58"/>
        <v>299</v>
      </c>
      <c r="Q317" s="198">
        <f t="shared" si="55"/>
        <v>-1539808.6400753558</v>
      </c>
    </row>
    <row r="318" spans="8:17" s="130" customFormat="1" x14ac:dyDescent="0.3">
      <c r="H318" s="186">
        <f t="shared" si="50"/>
        <v>300</v>
      </c>
      <c r="I318" s="197">
        <f t="shared" si="51"/>
        <v>-1368400.9989570146</v>
      </c>
      <c r="J318" s="194">
        <f t="shared" si="52"/>
        <v>14850.427919893709</v>
      </c>
      <c r="K318" s="186">
        <f t="shared" si="53"/>
        <v>1353550.5710371209</v>
      </c>
      <c r="L318" s="186">
        <f t="shared" si="54"/>
        <v>-2.0954757928848267E-7</v>
      </c>
      <c r="M318" s="194">
        <f t="shared" si="56"/>
        <v>-611.8048581086839</v>
      </c>
      <c r="N318" s="194" t="e">
        <f>+-VLOOKUP(D318,#REF!,3,0)*L317</f>
        <v>#REF!</v>
      </c>
      <c r="O318" s="194">
        <f t="shared" si="57"/>
        <v>-170190.67095</v>
      </c>
      <c r="P318" s="195">
        <f t="shared" si="58"/>
        <v>300</v>
      </c>
      <c r="Q318" s="198">
        <f t="shared" si="55"/>
        <v>-1539203.4747651233</v>
      </c>
    </row>
  </sheetData>
  <sheetProtection algorithmName="SHA-512" hashValue="D2mpeLZMwM7FYXunc/ZS0U16pnWyk8mECs8hNx8enPjjnhUpL0h9TQ+aWNXyxyVD/keiC/OOqan1BuT/3Xp4fg==" saltValue="wUltRqx36E4Zb3PqdGHAVg==" spinCount="100000" sheet="1" objects="1" scenarios="1" autoFilter="0" pivotTables="0"/>
  <mergeCells count="3">
    <mergeCell ref="I2:Q2"/>
    <mergeCell ref="B17:E17"/>
    <mergeCell ref="I4:J4"/>
  </mergeCells>
  <pageMargins left="0.7" right="0.7" top="0.75" bottom="0.75" header="0.3" footer="0.3"/>
  <pageSetup orientation="portrait" r:id="rId1"/>
  <ignoredErrors>
    <ignoredError sqref="Q14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40DE0-C92C-449C-B8CA-144BAFB73F12}">
  <sheetPr codeName="Hoja8"/>
  <dimension ref="A1:E83"/>
  <sheetViews>
    <sheetView showGridLines="0" zoomScale="60" zoomScaleNormal="60" workbookViewId="0">
      <selection activeCell="C4" sqref="C4"/>
    </sheetView>
  </sheetViews>
  <sheetFormatPr baseColWidth="10" defaultRowHeight="14.5" outlineLevelRow="1" x14ac:dyDescent="0.35"/>
  <cols>
    <col min="1" max="1" width="166.54296875" bestFit="1" customWidth="1"/>
    <col min="2" max="2" width="11.1796875" customWidth="1"/>
    <col min="3" max="3" width="10.1796875" bestFit="1" customWidth="1"/>
    <col min="4" max="4" width="11.7265625" bestFit="1" customWidth="1"/>
    <col min="5" max="5" width="8.453125" bestFit="1" customWidth="1"/>
  </cols>
  <sheetData>
    <row r="1" spans="1:5" ht="18.5" x14ac:dyDescent="0.35">
      <c r="A1" s="43" t="s">
        <v>338</v>
      </c>
      <c r="B1" s="44"/>
      <c r="C1" s="44"/>
      <c r="D1" s="44"/>
      <c r="E1" s="44"/>
    </row>
    <row r="2" spans="1:5" ht="18.5" x14ac:dyDescent="0.45">
      <c r="A2" s="45" t="s">
        <v>339</v>
      </c>
      <c r="B2" s="44"/>
      <c r="C2" s="44"/>
      <c r="D2" s="44"/>
      <c r="E2" s="44"/>
    </row>
    <row r="3" spans="1:5" ht="19" thickBot="1" x14ac:dyDescent="0.5">
      <c r="A3" s="45"/>
      <c r="B3" s="44"/>
      <c r="C3" s="44"/>
      <c r="D3" s="44"/>
      <c r="E3" s="44"/>
    </row>
    <row r="4" spans="1:5" ht="19" thickBot="1" x14ac:dyDescent="0.4">
      <c r="A4" s="46" t="s">
        <v>340</v>
      </c>
      <c r="B4" s="47"/>
      <c r="C4" s="48"/>
      <c r="D4" s="48" t="s">
        <v>341</v>
      </c>
      <c r="E4" s="49" t="s">
        <v>342</v>
      </c>
    </row>
    <row r="5" spans="1:5" ht="19" thickBot="1" x14ac:dyDescent="0.4">
      <c r="A5" s="50" t="s">
        <v>343</v>
      </c>
      <c r="B5" s="112" t="s">
        <v>344</v>
      </c>
      <c r="C5" s="113"/>
      <c r="D5" s="51"/>
      <c r="E5" s="52"/>
    </row>
    <row r="6" spans="1:5" ht="18.5" x14ac:dyDescent="0.45">
      <c r="A6" s="53" t="s">
        <v>345</v>
      </c>
      <c r="B6" s="114" t="s">
        <v>346</v>
      </c>
      <c r="C6" s="115"/>
      <c r="D6" s="54" t="s">
        <v>347</v>
      </c>
      <c r="E6" s="55" t="s">
        <v>348</v>
      </c>
    </row>
    <row r="7" spans="1:5" ht="19" thickBot="1" x14ac:dyDescent="0.5">
      <c r="A7" s="53" t="s">
        <v>349</v>
      </c>
      <c r="B7" s="110" t="s">
        <v>346</v>
      </c>
      <c r="C7" s="111"/>
      <c r="D7" s="54" t="s">
        <v>347</v>
      </c>
      <c r="E7" s="55" t="str">
        <f>+E6</f>
        <v>P207</v>
      </c>
    </row>
    <row r="8" spans="1:5" ht="19" thickBot="1" x14ac:dyDescent="0.4">
      <c r="A8" s="46" t="s">
        <v>350</v>
      </c>
      <c r="B8" s="47"/>
      <c r="C8" s="48"/>
      <c r="D8" s="48" t="s">
        <v>341</v>
      </c>
      <c r="E8" s="49" t="s">
        <v>342</v>
      </c>
    </row>
    <row r="9" spans="1:5" ht="19" thickBot="1" x14ac:dyDescent="0.4">
      <c r="A9" s="50" t="s">
        <v>343</v>
      </c>
      <c r="B9" s="112" t="s">
        <v>344</v>
      </c>
      <c r="C9" s="113"/>
      <c r="D9" s="51"/>
      <c r="E9" s="52"/>
    </row>
    <row r="10" spans="1:5" ht="18.5" x14ac:dyDescent="0.45">
      <c r="A10" s="53" t="s">
        <v>345</v>
      </c>
      <c r="B10" s="114" t="s">
        <v>346</v>
      </c>
      <c r="C10" s="115"/>
      <c r="D10" s="54" t="s">
        <v>347</v>
      </c>
      <c r="E10" s="55" t="str">
        <f>+E7</f>
        <v>P207</v>
      </c>
    </row>
    <row r="11" spans="1:5" ht="19" thickBot="1" x14ac:dyDescent="0.5">
      <c r="A11" s="53" t="s">
        <v>349</v>
      </c>
      <c r="B11" s="110" t="s">
        <v>346</v>
      </c>
      <c r="C11" s="111"/>
      <c r="D11" s="54" t="s">
        <v>347</v>
      </c>
      <c r="E11" s="55" t="str">
        <f>+E10</f>
        <v>P207</v>
      </c>
    </row>
    <row r="12" spans="1:5" ht="19" thickBot="1" x14ac:dyDescent="0.4">
      <c r="A12" s="46" t="s">
        <v>351</v>
      </c>
      <c r="B12" s="47"/>
      <c r="C12" s="48"/>
      <c r="D12" s="48" t="s">
        <v>341</v>
      </c>
      <c r="E12" s="49" t="s">
        <v>342</v>
      </c>
    </row>
    <row r="13" spans="1:5" ht="19" thickBot="1" x14ac:dyDescent="0.4">
      <c r="A13" s="56" t="s">
        <v>352</v>
      </c>
      <c r="B13" s="112" t="s">
        <v>353</v>
      </c>
      <c r="C13" s="113"/>
      <c r="D13" s="51"/>
      <c r="E13" s="57"/>
    </row>
    <row r="14" spans="1:5" ht="18.5" x14ac:dyDescent="0.45">
      <c r="A14" s="53" t="s">
        <v>345</v>
      </c>
      <c r="B14" s="114" t="s">
        <v>354</v>
      </c>
      <c r="C14" s="115"/>
      <c r="D14" s="54" t="s">
        <v>347</v>
      </c>
      <c r="E14" s="55" t="str">
        <f>+E11</f>
        <v>P207</v>
      </c>
    </row>
    <row r="15" spans="1:5" ht="19" thickBot="1" x14ac:dyDescent="0.5">
      <c r="A15" s="53" t="s">
        <v>349</v>
      </c>
      <c r="B15" s="110" t="s">
        <v>355</v>
      </c>
      <c r="C15" s="111"/>
      <c r="D15" s="54" t="s">
        <v>347</v>
      </c>
      <c r="E15" s="55" t="str">
        <f>+E14</f>
        <v>P207</v>
      </c>
    </row>
    <row r="16" spans="1:5" ht="19" thickBot="1" x14ac:dyDescent="0.4">
      <c r="A16" s="56" t="s">
        <v>356</v>
      </c>
      <c r="B16" s="112" t="s">
        <v>353</v>
      </c>
      <c r="C16" s="113"/>
      <c r="D16" s="51"/>
      <c r="E16" s="57"/>
    </row>
    <row r="17" spans="1:5" ht="18.5" x14ac:dyDescent="0.45">
      <c r="A17" s="53" t="s">
        <v>345</v>
      </c>
      <c r="B17" s="114" t="s">
        <v>354</v>
      </c>
      <c r="C17" s="115"/>
      <c r="D17" s="54" t="s">
        <v>347</v>
      </c>
      <c r="E17" s="55" t="str">
        <f>+E15</f>
        <v>P207</v>
      </c>
    </row>
    <row r="18" spans="1:5" ht="19" thickBot="1" x14ac:dyDescent="0.5">
      <c r="A18" s="53" t="s">
        <v>349</v>
      </c>
      <c r="B18" s="110" t="s">
        <v>355</v>
      </c>
      <c r="C18" s="111"/>
      <c r="D18" s="54" t="s">
        <v>347</v>
      </c>
      <c r="E18" s="55" t="str">
        <f>+E17</f>
        <v>P207</v>
      </c>
    </row>
    <row r="19" spans="1:5" ht="19" hidden="1" customHeight="1" outlineLevel="1" thickBot="1" x14ac:dyDescent="0.4">
      <c r="A19" s="58" t="s">
        <v>357</v>
      </c>
      <c r="B19" s="116" t="s">
        <v>353</v>
      </c>
      <c r="C19" s="117"/>
      <c r="D19" s="59"/>
      <c r="E19" s="60"/>
    </row>
    <row r="20" spans="1:5" ht="19" hidden="1" customHeight="1" outlineLevel="1" thickBot="1" x14ac:dyDescent="0.5">
      <c r="A20" s="61" t="s">
        <v>358</v>
      </c>
      <c r="B20" s="118" t="s">
        <v>359</v>
      </c>
      <c r="C20" s="119"/>
      <c r="D20" s="62" t="s">
        <v>347</v>
      </c>
      <c r="E20" s="62" t="s">
        <v>360</v>
      </c>
    </row>
    <row r="21" spans="1:5" ht="19" hidden="1" customHeight="1" outlineLevel="1" thickBot="1" x14ac:dyDescent="0.5">
      <c r="A21" s="61" t="s">
        <v>361</v>
      </c>
      <c r="B21" s="120" t="s">
        <v>362</v>
      </c>
      <c r="C21" s="121"/>
      <c r="D21" s="62" t="s">
        <v>347</v>
      </c>
      <c r="E21" s="62" t="s">
        <v>360</v>
      </c>
    </row>
    <row r="22" spans="1:5" ht="19" collapsed="1" thickBot="1" x14ac:dyDescent="0.4">
      <c r="A22" s="46" t="s">
        <v>340</v>
      </c>
      <c r="B22" s="47"/>
      <c r="C22" s="48"/>
      <c r="D22" s="48" t="s">
        <v>341</v>
      </c>
      <c r="E22" s="49" t="s">
        <v>342</v>
      </c>
    </row>
    <row r="23" spans="1:5" ht="19" thickBot="1" x14ac:dyDescent="0.4">
      <c r="A23" s="56" t="s">
        <v>363</v>
      </c>
      <c r="B23" s="63" t="s">
        <v>364</v>
      </c>
      <c r="C23" s="48" t="s">
        <v>365</v>
      </c>
      <c r="D23" s="51"/>
      <c r="E23" s="57"/>
    </row>
    <row r="24" spans="1:5" ht="18.5" x14ac:dyDescent="0.45">
      <c r="A24" s="53" t="s">
        <v>345</v>
      </c>
      <c r="B24" s="64">
        <f>+(1+C24)^(1/12)-1</f>
        <v>1.0971461456750209E-2</v>
      </c>
      <c r="C24" s="65">
        <v>0.1399</v>
      </c>
      <c r="D24" s="54" t="s">
        <v>347</v>
      </c>
      <c r="E24" s="55" t="str">
        <f>+E18</f>
        <v>P207</v>
      </c>
    </row>
    <row r="25" spans="1:5" ht="19" thickBot="1" x14ac:dyDescent="0.5">
      <c r="A25" s="53" t="s">
        <v>349</v>
      </c>
      <c r="B25" s="66">
        <f>+(1+C25)^(1/12)-1</f>
        <v>1.0971461456750209E-2</v>
      </c>
      <c r="C25" s="65">
        <v>0.1399</v>
      </c>
      <c r="D25" s="54" t="s">
        <v>347</v>
      </c>
      <c r="E25" s="55" t="str">
        <f>+E24</f>
        <v>P207</v>
      </c>
    </row>
    <row r="26" spans="1:5" ht="19" thickBot="1" x14ac:dyDescent="0.4">
      <c r="A26" s="46" t="s">
        <v>366</v>
      </c>
      <c r="B26" s="47"/>
      <c r="C26" s="48"/>
      <c r="D26" s="48" t="s">
        <v>341</v>
      </c>
      <c r="E26" s="49" t="s">
        <v>342</v>
      </c>
    </row>
    <row r="27" spans="1:5" ht="19" thickBot="1" x14ac:dyDescent="0.4">
      <c r="A27" s="56" t="s">
        <v>363</v>
      </c>
      <c r="B27" s="63" t="s">
        <v>364</v>
      </c>
      <c r="C27" s="48" t="s">
        <v>365</v>
      </c>
      <c r="D27" s="51"/>
      <c r="E27" s="57"/>
    </row>
    <row r="28" spans="1:5" ht="18.5" x14ac:dyDescent="0.45">
      <c r="A28" s="53" t="s">
        <v>345</v>
      </c>
      <c r="B28" s="64">
        <f>+(1+C28)^(1/12)-1</f>
        <v>1.2365096685221344E-2</v>
      </c>
      <c r="C28" s="65">
        <v>0.15890000000000001</v>
      </c>
      <c r="D28" s="54" t="s">
        <v>347</v>
      </c>
      <c r="E28" s="55" t="str">
        <f>+E25</f>
        <v>P207</v>
      </c>
    </row>
    <row r="29" spans="1:5" ht="19" thickBot="1" x14ac:dyDescent="0.5">
      <c r="A29" s="53" t="s">
        <v>349</v>
      </c>
      <c r="B29" s="66">
        <f>+(1+C29)^(1/12)-1</f>
        <v>1.2365096685221344E-2</v>
      </c>
      <c r="C29" s="65">
        <v>0.15890000000000001</v>
      </c>
      <c r="D29" s="54" t="s">
        <v>347</v>
      </c>
      <c r="E29" s="55" t="str">
        <f>+E28</f>
        <v>P207</v>
      </c>
    </row>
    <row r="30" spans="1:5" ht="19" thickBot="1" x14ac:dyDescent="0.4">
      <c r="A30" s="46" t="s">
        <v>351</v>
      </c>
      <c r="B30" s="47"/>
      <c r="C30" s="48"/>
      <c r="D30" s="48" t="s">
        <v>341</v>
      </c>
      <c r="E30" s="49" t="s">
        <v>342</v>
      </c>
    </row>
    <row r="31" spans="1:5" ht="19" thickBot="1" x14ac:dyDescent="0.4">
      <c r="A31" s="56" t="s">
        <v>367</v>
      </c>
      <c r="B31" s="63" t="s">
        <v>364</v>
      </c>
      <c r="C31" s="48" t="s">
        <v>365</v>
      </c>
      <c r="D31" s="51"/>
      <c r="E31" s="57"/>
    </row>
    <row r="32" spans="1:5" ht="18.5" x14ac:dyDescent="0.45">
      <c r="A32" s="53" t="s">
        <v>345</v>
      </c>
      <c r="B32" s="64">
        <f>+(1+C32)^(1/12)-1</f>
        <v>1.2146447917485981E-2</v>
      </c>
      <c r="C32" s="65">
        <v>0.15590000000000001</v>
      </c>
      <c r="D32" s="54" t="s">
        <v>347</v>
      </c>
      <c r="E32" s="55" t="str">
        <f>+E29</f>
        <v>P207</v>
      </c>
    </row>
    <row r="33" spans="1:5" ht="19" thickBot="1" x14ac:dyDescent="0.5">
      <c r="A33" s="53" t="s">
        <v>349</v>
      </c>
      <c r="B33" s="66">
        <f>+(1+C33)^(1/12)-1</f>
        <v>1.2437864319545744E-2</v>
      </c>
      <c r="C33" s="65">
        <v>0.15989999999999999</v>
      </c>
      <c r="D33" s="54" t="s">
        <v>347</v>
      </c>
      <c r="E33" s="55" t="str">
        <f>+E32</f>
        <v>P207</v>
      </c>
    </row>
    <row r="34" spans="1:5" ht="19" thickBot="1" x14ac:dyDescent="0.4">
      <c r="A34" s="56" t="s">
        <v>368</v>
      </c>
      <c r="B34" s="63" t="s">
        <v>364</v>
      </c>
      <c r="C34" s="48" t="s">
        <v>365</v>
      </c>
      <c r="D34" s="51"/>
      <c r="E34" s="57"/>
    </row>
    <row r="35" spans="1:5" ht="18.5" x14ac:dyDescent="0.45">
      <c r="A35" s="53" t="s">
        <v>345</v>
      </c>
      <c r="B35" s="64">
        <f>+(1+C35)^(1/12)-1</f>
        <v>1.2146447917485981E-2</v>
      </c>
      <c r="C35" s="65">
        <v>0.15590000000000001</v>
      </c>
      <c r="D35" s="54" t="s">
        <v>347</v>
      </c>
      <c r="E35" s="55" t="str">
        <f>+E32</f>
        <v>P207</v>
      </c>
    </row>
    <row r="36" spans="1:5" ht="19" thickBot="1" x14ac:dyDescent="0.5">
      <c r="A36" s="53" t="s">
        <v>349</v>
      </c>
      <c r="B36" s="66">
        <f>+(1+C36)^(1/12)-1</f>
        <v>1.2437864319545744E-2</v>
      </c>
      <c r="C36" s="65">
        <v>0.15989999999999999</v>
      </c>
      <c r="D36" s="54" t="s">
        <v>347</v>
      </c>
      <c r="E36" s="55" t="str">
        <f>+E35</f>
        <v>P207</v>
      </c>
    </row>
    <row r="37" spans="1:5" ht="19" hidden="1" customHeight="1" outlineLevel="1" thickBot="1" x14ac:dyDescent="0.4">
      <c r="A37" s="58" t="s">
        <v>369</v>
      </c>
      <c r="B37" s="67" t="s">
        <v>364</v>
      </c>
      <c r="C37" s="68" t="s">
        <v>365</v>
      </c>
      <c r="D37" s="59"/>
      <c r="E37" s="60"/>
    </row>
    <row r="38" spans="1:5" ht="19" hidden="1" customHeight="1" outlineLevel="1" thickBot="1" x14ac:dyDescent="0.5">
      <c r="A38" s="61" t="s">
        <v>358</v>
      </c>
      <c r="B38" s="69">
        <f>+(1+C38)^(1/12)-1</f>
        <v>1.3393045466160602E-2</v>
      </c>
      <c r="C38" s="70">
        <v>0.1731</v>
      </c>
      <c r="D38" s="62" t="s">
        <v>347</v>
      </c>
      <c r="E38" s="62" t="s">
        <v>370</v>
      </c>
    </row>
    <row r="39" spans="1:5" ht="19" hidden="1" customHeight="1" outlineLevel="1" thickBot="1" x14ac:dyDescent="0.5">
      <c r="A39" s="71" t="s">
        <v>361</v>
      </c>
      <c r="B39" s="72">
        <f>+(1+C39)^(1/12)-1</f>
        <v>1.3551283657394109E-2</v>
      </c>
      <c r="C39" s="70">
        <v>0.17530000000000001</v>
      </c>
      <c r="D39" s="62" t="s">
        <v>347</v>
      </c>
      <c r="E39" s="62" t="s">
        <v>370</v>
      </c>
    </row>
    <row r="40" spans="1:5" ht="19" collapsed="1" thickBot="1" x14ac:dyDescent="0.4">
      <c r="A40" s="46" t="s">
        <v>371</v>
      </c>
      <c r="B40" s="47"/>
      <c r="C40" s="48"/>
      <c r="D40" s="48" t="s">
        <v>341</v>
      </c>
      <c r="E40" s="49" t="s">
        <v>342</v>
      </c>
    </row>
    <row r="41" spans="1:5" ht="19" thickBot="1" x14ac:dyDescent="0.4">
      <c r="A41" s="56" t="s">
        <v>372</v>
      </c>
      <c r="B41" s="73" t="s">
        <v>364</v>
      </c>
      <c r="C41" s="74" t="s">
        <v>365</v>
      </c>
      <c r="D41" s="51"/>
      <c r="E41" s="57"/>
    </row>
    <row r="42" spans="1:5" ht="18.5" x14ac:dyDescent="0.45">
      <c r="A42" s="53" t="s">
        <v>345</v>
      </c>
      <c r="B42" s="64">
        <f>+(1+C42)^(1/12)-1</f>
        <v>1.6130745800069679E-2</v>
      </c>
      <c r="C42" s="65">
        <v>0.2117</v>
      </c>
      <c r="D42" s="54" t="s">
        <v>347</v>
      </c>
      <c r="E42" s="55" t="str">
        <f>+E36</f>
        <v>P207</v>
      </c>
    </row>
    <row r="43" spans="1:5" ht="19" thickBot="1" x14ac:dyDescent="0.5">
      <c r="A43" s="53" t="s">
        <v>349</v>
      </c>
      <c r="B43" s="66">
        <f>+(1+C43)^(1/12)-1</f>
        <v>1.640985684200813E-2</v>
      </c>
      <c r="C43" s="65">
        <v>0.2157</v>
      </c>
      <c r="D43" s="54" t="s">
        <v>347</v>
      </c>
      <c r="E43" s="55" t="str">
        <f>+E42</f>
        <v>P207</v>
      </c>
    </row>
    <row r="44" spans="1:5" ht="19" thickBot="1" x14ac:dyDescent="0.4">
      <c r="A44" s="56" t="s">
        <v>373</v>
      </c>
      <c r="B44" s="73" t="s">
        <v>364</v>
      </c>
      <c r="C44" s="74" t="s">
        <v>365</v>
      </c>
      <c r="D44" s="51"/>
      <c r="E44" s="57"/>
    </row>
    <row r="45" spans="1:5" ht="18.5" x14ac:dyDescent="0.45">
      <c r="A45" s="53" t="s">
        <v>345</v>
      </c>
      <c r="B45" s="64">
        <f>+(1+C45)^(1/12)-1</f>
        <v>1.5429255666038255E-2</v>
      </c>
      <c r="C45" s="65">
        <v>0.20169999999999999</v>
      </c>
      <c r="D45" s="54" t="s">
        <v>347</v>
      </c>
      <c r="E45" s="55" t="str">
        <f>+E42</f>
        <v>P207</v>
      </c>
    </row>
    <row r="46" spans="1:5" ht="19" thickBot="1" x14ac:dyDescent="0.5">
      <c r="A46" s="53" t="s">
        <v>349</v>
      </c>
      <c r="B46" s="75">
        <f>+(1+C46)^(1/12)-1</f>
        <v>1.5710491522612724E-2</v>
      </c>
      <c r="C46" s="65">
        <v>0.20569999999999999</v>
      </c>
      <c r="D46" s="54" t="s">
        <v>347</v>
      </c>
      <c r="E46" s="55" t="str">
        <f>+E45</f>
        <v>P207</v>
      </c>
    </row>
    <row r="47" spans="1:5" ht="19" thickBot="1" x14ac:dyDescent="0.4">
      <c r="A47" s="46" t="s">
        <v>374</v>
      </c>
      <c r="B47" s="47"/>
      <c r="C47" s="48"/>
      <c r="D47" s="48" t="s">
        <v>341</v>
      </c>
      <c r="E47" s="49" t="s">
        <v>342</v>
      </c>
    </row>
    <row r="48" spans="1:5" ht="19" thickBot="1" x14ac:dyDescent="0.4">
      <c r="A48" s="56" t="s">
        <v>375</v>
      </c>
      <c r="B48" s="112" t="s">
        <v>336</v>
      </c>
      <c r="C48" s="113"/>
      <c r="D48" s="51"/>
      <c r="E48" s="52"/>
    </row>
    <row r="49" spans="1:5" ht="19" thickBot="1" x14ac:dyDescent="0.5">
      <c r="A49" s="53"/>
      <c r="B49" s="114" t="s">
        <v>376</v>
      </c>
      <c r="C49" s="115"/>
      <c r="D49" s="54" t="s">
        <v>347</v>
      </c>
      <c r="E49" s="55" t="s">
        <v>377</v>
      </c>
    </row>
    <row r="50" spans="1:5" ht="19" thickBot="1" x14ac:dyDescent="0.4">
      <c r="A50" s="56" t="s">
        <v>378</v>
      </c>
      <c r="B50" s="112" t="s">
        <v>336</v>
      </c>
      <c r="C50" s="113"/>
      <c r="D50" s="51"/>
      <c r="E50" s="57"/>
    </row>
    <row r="51" spans="1:5" ht="19" thickBot="1" x14ac:dyDescent="0.5">
      <c r="A51" s="53"/>
      <c r="B51" s="114" t="s">
        <v>379</v>
      </c>
      <c r="C51" s="115"/>
      <c r="D51" s="54" t="s">
        <v>347</v>
      </c>
      <c r="E51" s="55" t="s">
        <v>377</v>
      </c>
    </row>
    <row r="52" spans="1:5" ht="19" thickBot="1" x14ac:dyDescent="0.4">
      <c r="A52" s="56" t="s">
        <v>380</v>
      </c>
      <c r="B52" s="73" t="s">
        <v>364</v>
      </c>
      <c r="C52" s="74" t="s">
        <v>365</v>
      </c>
      <c r="D52" s="51"/>
      <c r="E52" s="57"/>
    </row>
    <row r="53" spans="1:5" ht="19" thickBot="1" x14ac:dyDescent="0.5">
      <c r="A53" s="53"/>
      <c r="B53" s="64">
        <f>+(1+C53)^(1/12)-1</f>
        <v>1.6896281744874342E-2</v>
      </c>
      <c r="C53" s="65">
        <v>0.22270000000000001</v>
      </c>
      <c r="D53" s="54" t="s">
        <v>347</v>
      </c>
      <c r="E53" s="55" t="str">
        <f>+E45</f>
        <v>P207</v>
      </c>
    </row>
    <row r="54" spans="1:5" ht="19" thickBot="1" x14ac:dyDescent="0.4">
      <c r="A54" s="56" t="s">
        <v>381</v>
      </c>
      <c r="B54" s="63" t="s">
        <v>364</v>
      </c>
      <c r="C54" s="76" t="s">
        <v>365</v>
      </c>
      <c r="D54" s="51"/>
      <c r="E54" s="57"/>
    </row>
    <row r="55" spans="1:5" ht="19" thickBot="1" x14ac:dyDescent="0.5">
      <c r="A55" s="77"/>
      <c r="B55" s="78">
        <f>+(1+C55)^(1/12)-1</f>
        <v>1.6688127324563151E-2</v>
      </c>
      <c r="C55" s="79">
        <v>0.21970000000000001</v>
      </c>
      <c r="D55" s="80" t="s">
        <v>347</v>
      </c>
      <c r="E55" s="81" t="str">
        <f>+E46</f>
        <v>P207</v>
      </c>
    </row>
    <row r="57" spans="1:5" ht="15" thickBot="1" x14ac:dyDescent="0.4"/>
    <row r="58" spans="1:5" ht="19" thickBot="1" x14ac:dyDescent="0.4">
      <c r="A58" s="46" t="s">
        <v>332</v>
      </c>
      <c r="B58" s="47" t="s">
        <v>364</v>
      </c>
      <c r="C58" s="48" t="s">
        <v>365</v>
      </c>
      <c r="D58" s="48" t="s">
        <v>341</v>
      </c>
      <c r="E58" s="49" t="s">
        <v>342</v>
      </c>
    </row>
    <row r="59" spans="1:5" ht="19" thickBot="1" x14ac:dyDescent="0.5">
      <c r="A59" s="56" t="s">
        <v>382</v>
      </c>
      <c r="B59" s="63"/>
      <c r="C59" s="76"/>
      <c r="D59" s="51"/>
      <c r="E59" s="82"/>
    </row>
    <row r="60" spans="1:5" ht="19" thickBot="1" x14ac:dyDescent="0.5">
      <c r="A60" s="53" t="s">
        <v>345</v>
      </c>
      <c r="B60" s="64">
        <f>+(1+C60)^(1/12)-1</f>
        <v>1.3090197519910252E-2</v>
      </c>
      <c r="C60" s="65">
        <v>0.16889999999999999</v>
      </c>
      <c r="D60" s="54" t="s">
        <v>347</v>
      </c>
      <c r="E60" s="83" t="str">
        <f>+E55</f>
        <v>P207</v>
      </c>
    </row>
    <row r="61" spans="1:5" ht="19" thickBot="1" x14ac:dyDescent="0.5">
      <c r="A61" s="53" t="s">
        <v>349</v>
      </c>
      <c r="B61" s="66">
        <f>+(1+C61)^(1/12)-1</f>
        <v>1.3306619033743639E-2</v>
      </c>
      <c r="C61" s="65">
        <v>0.1719</v>
      </c>
      <c r="D61" s="54" t="s">
        <v>347</v>
      </c>
      <c r="E61" s="83" t="str">
        <f>+E55</f>
        <v>P207</v>
      </c>
    </row>
    <row r="62" spans="1:5" ht="19" thickBot="1" x14ac:dyDescent="0.5">
      <c r="A62" s="56" t="s">
        <v>383</v>
      </c>
      <c r="B62" s="73" t="s">
        <v>364</v>
      </c>
      <c r="C62" s="74" t="s">
        <v>365</v>
      </c>
      <c r="D62" s="51"/>
      <c r="E62" s="83"/>
    </row>
    <row r="63" spans="1:5" ht="19" thickBot="1" x14ac:dyDescent="0.5">
      <c r="A63" s="84" t="s">
        <v>345</v>
      </c>
      <c r="B63" s="64">
        <f>+(1+C63)^(1/12)-1</f>
        <v>1.294563346457811E-2</v>
      </c>
      <c r="C63" s="85">
        <v>0.16689999999999999</v>
      </c>
      <c r="D63" s="86" t="s">
        <v>347</v>
      </c>
      <c r="E63" s="83" t="str">
        <f>+E55</f>
        <v>P207</v>
      </c>
    </row>
    <row r="64" spans="1:5" ht="19" thickBot="1" x14ac:dyDescent="0.5">
      <c r="A64" s="77" t="s">
        <v>349</v>
      </c>
      <c r="B64" s="66">
        <f>+(1+C64)^(1/12)-1</f>
        <v>1.3162394540985334E-2</v>
      </c>
      <c r="C64" s="79">
        <v>0.1699</v>
      </c>
      <c r="D64" s="87" t="s">
        <v>347</v>
      </c>
      <c r="E64" s="83" t="str">
        <f>+E55</f>
        <v>P207</v>
      </c>
    </row>
    <row r="65" spans="1:5" ht="19" hidden="1" customHeight="1" outlineLevel="1" thickBot="1" x14ac:dyDescent="0.5">
      <c r="A65" s="58" t="s">
        <v>384</v>
      </c>
      <c r="B65" s="88" t="s">
        <v>364</v>
      </c>
      <c r="C65" s="89" t="s">
        <v>365</v>
      </c>
      <c r="D65" s="59"/>
      <c r="E65" s="90"/>
    </row>
    <row r="66" spans="1:5" ht="19" hidden="1" customHeight="1" outlineLevel="1" x14ac:dyDescent="0.45">
      <c r="A66" s="61" t="s">
        <v>385</v>
      </c>
      <c r="B66" s="69">
        <f>+(1+C66)^(1/12)-1</f>
        <v>1.2481497301066957E-2</v>
      </c>
      <c r="C66" s="70">
        <v>0.1605</v>
      </c>
      <c r="D66" s="62" t="s">
        <v>347</v>
      </c>
      <c r="E66" s="90" t="s">
        <v>370</v>
      </c>
    </row>
    <row r="67" spans="1:5" ht="19" hidden="1" customHeight="1" outlineLevel="1" x14ac:dyDescent="0.45">
      <c r="A67" s="71" t="s">
        <v>386</v>
      </c>
      <c r="B67" s="72">
        <f>+(1+C67)^(1/12)-1</f>
        <v>1.263405006102114E-2</v>
      </c>
      <c r="C67" s="91">
        <v>0.16259999999999999</v>
      </c>
      <c r="D67" s="92" t="s">
        <v>347</v>
      </c>
      <c r="E67" s="90" t="s">
        <v>370</v>
      </c>
    </row>
    <row r="68" spans="1:5" collapsed="1" x14ac:dyDescent="0.35"/>
    <row r="69" spans="1:5" ht="15" thickBot="1" x14ac:dyDescent="0.4"/>
    <row r="70" spans="1:5" ht="19" thickBot="1" x14ac:dyDescent="0.4">
      <c r="A70" s="93" t="s">
        <v>387</v>
      </c>
      <c r="B70" s="47"/>
      <c r="C70" s="48"/>
      <c r="D70" s="48" t="s">
        <v>341</v>
      </c>
      <c r="E70" s="49" t="s">
        <v>342</v>
      </c>
    </row>
    <row r="71" spans="1:5" ht="19" thickBot="1" x14ac:dyDescent="0.5">
      <c r="A71" s="94" t="s">
        <v>388</v>
      </c>
      <c r="B71" s="95" t="s">
        <v>364</v>
      </c>
      <c r="C71" s="96" t="s">
        <v>365</v>
      </c>
      <c r="D71" s="97"/>
      <c r="E71" s="82"/>
    </row>
    <row r="72" spans="1:5" ht="19" thickBot="1" x14ac:dyDescent="0.5">
      <c r="A72" s="98" t="s">
        <v>389</v>
      </c>
      <c r="B72" s="122" t="s">
        <v>354</v>
      </c>
      <c r="C72" s="123"/>
      <c r="D72" s="80" t="s">
        <v>347</v>
      </c>
      <c r="E72" s="83" t="str">
        <f>+E63</f>
        <v>P207</v>
      </c>
    </row>
    <row r="73" spans="1:5" ht="19" thickBot="1" x14ac:dyDescent="0.5">
      <c r="A73" s="98" t="s">
        <v>390</v>
      </c>
      <c r="B73" s="99">
        <f>+(1+C73)^(1/12)-1</f>
        <v>1.2146447917485981E-2</v>
      </c>
      <c r="C73" s="100">
        <v>0.15590000000000001</v>
      </c>
      <c r="D73" s="80" t="s">
        <v>347</v>
      </c>
      <c r="E73" s="83" t="str">
        <f>+E72</f>
        <v>P207</v>
      </c>
    </row>
    <row r="74" spans="1:5" ht="19" hidden="1" customHeight="1" outlineLevel="1" thickBot="1" x14ac:dyDescent="0.5">
      <c r="A74" s="101" t="s">
        <v>391</v>
      </c>
      <c r="B74" s="124" t="s">
        <v>392</v>
      </c>
      <c r="C74" s="125"/>
      <c r="D74" s="90" t="s">
        <v>347</v>
      </c>
      <c r="E74" s="90" t="s">
        <v>370</v>
      </c>
    </row>
    <row r="75" spans="1:5" ht="19" hidden="1" customHeight="1" outlineLevel="1" x14ac:dyDescent="0.45">
      <c r="A75" s="101" t="s">
        <v>393</v>
      </c>
      <c r="B75" s="102">
        <f>+(1+C75)^(1/12)-1</f>
        <v>1.3162394540985334E-2</v>
      </c>
      <c r="C75" s="103">
        <v>0.1699</v>
      </c>
      <c r="D75" s="90" t="s">
        <v>347</v>
      </c>
      <c r="E75" s="90" t="s">
        <v>370</v>
      </c>
    </row>
    <row r="76" spans="1:5" ht="18.5" collapsed="1" x14ac:dyDescent="0.35">
      <c r="A76" s="53" t="s">
        <v>394</v>
      </c>
    </row>
    <row r="77" spans="1:5" ht="15" thickBot="1" x14ac:dyDescent="0.4"/>
    <row r="78" spans="1:5" ht="19" thickBot="1" x14ac:dyDescent="0.4">
      <c r="A78" s="49" t="s">
        <v>395</v>
      </c>
      <c r="B78" s="49" t="s">
        <v>364</v>
      </c>
      <c r="C78" s="49" t="s">
        <v>365</v>
      </c>
      <c r="D78" s="49" t="s">
        <v>341</v>
      </c>
      <c r="E78" s="49" t="s">
        <v>342</v>
      </c>
    </row>
    <row r="79" spans="1:5" ht="19" thickBot="1" x14ac:dyDescent="0.5">
      <c r="A79" s="104" t="s">
        <v>396</v>
      </c>
      <c r="B79" s="126" t="s">
        <v>354</v>
      </c>
      <c r="C79" s="126"/>
      <c r="D79" s="105" t="s">
        <v>347</v>
      </c>
      <c r="E79" s="83" t="str">
        <f>+E73</f>
        <v>P207</v>
      </c>
    </row>
    <row r="80" spans="1:5" ht="19" thickBot="1" x14ac:dyDescent="0.5">
      <c r="A80" s="104" t="s">
        <v>397</v>
      </c>
      <c r="B80" s="99">
        <f>+NOMINAL(C80,12)/12</f>
        <v>1.2146447917485981E-2</v>
      </c>
      <c r="C80" s="99">
        <v>0.15590000000000001</v>
      </c>
      <c r="D80" s="105" t="s">
        <v>347</v>
      </c>
      <c r="E80" s="83" t="str">
        <f>+E79</f>
        <v>P207</v>
      </c>
    </row>
    <row r="81" spans="1:5" ht="19" thickBot="1" x14ac:dyDescent="0.5">
      <c r="A81" s="104" t="s">
        <v>398</v>
      </c>
      <c r="B81" s="126" t="s">
        <v>346</v>
      </c>
      <c r="C81" s="126"/>
      <c r="D81" s="105" t="s">
        <v>347</v>
      </c>
      <c r="E81" s="83" t="str">
        <f t="shared" ref="E81:E83" si="0">+E80</f>
        <v>P207</v>
      </c>
    </row>
    <row r="82" spans="1:5" ht="19" thickBot="1" x14ac:dyDescent="0.5">
      <c r="A82" s="104" t="s">
        <v>399</v>
      </c>
      <c r="B82" s="99">
        <f>+NOMINAL(C82,12)/12</f>
        <v>1.0971461456750209E-2</v>
      </c>
      <c r="C82" s="99">
        <v>0.1399</v>
      </c>
      <c r="D82" s="105" t="s">
        <v>347</v>
      </c>
      <c r="E82" s="83" t="str">
        <f t="shared" si="0"/>
        <v>P207</v>
      </c>
    </row>
    <row r="83" spans="1:5" ht="19" thickBot="1" x14ac:dyDescent="0.5">
      <c r="A83" s="104" t="s">
        <v>400</v>
      </c>
      <c r="B83" s="106">
        <f>+(1+C83)^(1/12)-1</f>
        <v>1.2292271470377036E-2</v>
      </c>
      <c r="C83" s="106">
        <v>0.15790000000000001</v>
      </c>
      <c r="D83" s="107" t="s">
        <v>347</v>
      </c>
      <c r="E83" s="83" t="str">
        <f t="shared" si="0"/>
        <v>P207</v>
      </c>
    </row>
  </sheetData>
  <sheetProtection algorithmName="SHA-512" hashValue="pAIDlQ4y4+ZyNGYmk0QdB+cT8usu22i1Zb1aHFv8pl4i5CP35ahEfFKRAj4VOKWiKAPSoy5aPaQLymRcCr00EA==" saltValue="IHw4/2lZ3v0AzyfRO8xFaQ==" spinCount="100000" sheet="1" objects="1" scenarios="1"/>
  <mergeCells count="23">
    <mergeCell ref="B51:C51"/>
    <mergeCell ref="B72:C72"/>
    <mergeCell ref="B74:C74"/>
    <mergeCell ref="B79:C79"/>
    <mergeCell ref="B81:C81"/>
    <mergeCell ref="B50:C50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48:C48"/>
    <mergeCell ref="B49:C49"/>
    <mergeCell ref="B11:C11"/>
    <mergeCell ref="B5:C5"/>
    <mergeCell ref="B6:C6"/>
    <mergeCell ref="B7:C7"/>
    <mergeCell ref="B9:C9"/>
    <mergeCell ref="B10:C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C78C3-AB95-47AC-8006-BE4AECA06417}">
  <sheetPr codeName="Hoja9"/>
  <dimension ref="A2:G38"/>
  <sheetViews>
    <sheetView workbookViewId="0"/>
  </sheetViews>
  <sheetFormatPr baseColWidth="10" defaultRowHeight="14.5" x14ac:dyDescent="0.35"/>
  <sheetData>
    <row r="2" spans="1:7" x14ac:dyDescent="0.35">
      <c r="A2" s="1" t="s">
        <v>287</v>
      </c>
      <c r="B2" s="108" t="s">
        <v>302</v>
      </c>
      <c r="C2" t="s">
        <v>403</v>
      </c>
    </row>
    <row r="3" spans="1:7" x14ac:dyDescent="0.35">
      <c r="A3">
        <v>1</v>
      </c>
      <c r="B3" s="33" t="s">
        <v>402</v>
      </c>
      <c r="C3" t="s">
        <v>404</v>
      </c>
    </row>
    <row r="4" spans="1:7" x14ac:dyDescent="0.35">
      <c r="A4">
        <f t="shared" ref="A4:A23" si="0">A3+1</f>
        <v>2</v>
      </c>
      <c r="B4" s="33" t="s">
        <v>401</v>
      </c>
      <c r="C4" t="s">
        <v>405</v>
      </c>
    </row>
    <row r="5" spans="1:7" x14ac:dyDescent="0.35">
      <c r="A5">
        <f t="shared" si="0"/>
        <v>3</v>
      </c>
      <c r="B5" s="33" t="s">
        <v>303</v>
      </c>
      <c r="C5" t="s">
        <v>406</v>
      </c>
    </row>
    <row r="6" spans="1:7" x14ac:dyDescent="0.35">
      <c r="A6">
        <f t="shared" si="0"/>
        <v>4</v>
      </c>
      <c r="B6" s="33" t="s">
        <v>306</v>
      </c>
    </row>
    <row r="7" spans="1:7" x14ac:dyDescent="0.35">
      <c r="A7">
        <f t="shared" si="0"/>
        <v>5</v>
      </c>
      <c r="B7" s="33"/>
    </row>
    <row r="8" spans="1:7" x14ac:dyDescent="0.35">
      <c r="A8">
        <f t="shared" si="0"/>
        <v>6</v>
      </c>
      <c r="B8" s="33"/>
    </row>
    <row r="9" spans="1:7" x14ac:dyDescent="0.35">
      <c r="A9">
        <f t="shared" si="0"/>
        <v>7</v>
      </c>
      <c r="B9" s="33"/>
    </row>
    <row r="10" spans="1:7" x14ac:dyDescent="0.35">
      <c r="A10">
        <f t="shared" si="0"/>
        <v>8</v>
      </c>
      <c r="B10" s="33"/>
    </row>
    <row r="11" spans="1:7" x14ac:dyDescent="0.35">
      <c r="A11">
        <f t="shared" si="0"/>
        <v>9</v>
      </c>
      <c r="B11" s="33"/>
    </row>
    <row r="12" spans="1:7" x14ac:dyDescent="0.35">
      <c r="A12">
        <f t="shared" si="0"/>
        <v>10</v>
      </c>
      <c r="B12" s="33"/>
    </row>
    <row r="13" spans="1:7" x14ac:dyDescent="0.35">
      <c r="A13">
        <f t="shared" si="0"/>
        <v>11</v>
      </c>
      <c r="B13" s="33"/>
    </row>
    <row r="14" spans="1:7" x14ac:dyDescent="0.35">
      <c r="A14">
        <f t="shared" si="0"/>
        <v>12</v>
      </c>
      <c r="B14" s="33"/>
      <c r="G14" cm="1">
        <f t="array" ref="G14:G38">IF('VTU HIPOTECARIO'!F13="vivienda VIS",Listas!$A$3:$A$27,IF('VTU HIPOTECARIO'!F13="vivienda NO VIS",Listas!$A$3:$A$27,IF('VTU HIPOTECARIO'!F13="Libre Inversión",Listas!$A$3:$A$7,IF('VTU HIPOTECARIO'!F13="Comercial",Listas!$A$3:$A$12,IF('VTU HIPOTECARIO'!F13="Comercial",Listas!$A$3:$A$12,IF('VTU HIPOTECARIO'!F14="Independiente",Listas!$A$3:$A$22))))))</f>
        <v>1</v>
      </c>
    </row>
    <row r="15" spans="1:7" x14ac:dyDescent="0.35">
      <c r="A15">
        <f t="shared" si="0"/>
        <v>13</v>
      </c>
      <c r="B15" s="33"/>
      <c r="G15">
        <v>2</v>
      </c>
    </row>
    <row r="16" spans="1:7" x14ac:dyDescent="0.35">
      <c r="A16">
        <f t="shared" si="0"/>
        <v>14</v>
      </c>
      <c r="B16" s="33"/>
      <c r="G16">
        <v>3</v>
      </c>
    </row>
    <row r="17" spans="1:7" x14ac:dyDescent="0.35">
      <c r="A17">
        <f t="shared" si="0"/>
        <v>15</v>
      </c>
      <c r="B17" s="33"/>
      <c r="G17">
        <v>4</v>
      </c>
    </row>
    <row r="18" spans="1:7" x14ac:dyDescent="0.35">
      <c r="A18">
        <f t="shared" si="0"/>
        <v>16</v>
      </c>
      <c r="B18" s="33"/>
      <c r="G18">
        <v>5</v>
      </c>
    </row>
    <row r="19" spans="1:7" x14ac:dyDescent="0.35">
      <c r="A19">
        <f t="shared" si="0"/>
        <v>17</v>
      </c>
      <c r="B19" s="33"/>
      <c r="G19">
        <v>6</v>
      </c>
    </row>
    <row r="20" spans="1:7" x14ac:dyDescent="0.35">
      <c r="A20">
        <f t="shared" si="0"/>
        <v>18</v>
      </c>
      <c r="B20" s="33"/>
      <c r="G20">
        <v>7</v>
      </c>
    </row>
    <row r="21" spans="1:7" x14ac:dyDescent="0.35">
      <c r="A21">
        <f t="shared" si="0"/>
        <v>19</v>
      </c>
      <c r="B21" s="34"/>
      <c r="G21">
        <v>8</v>
      </c>
    </row>
    <row r="22" spans="1:7" x14ac:dyDescent="0.35">
      <c r="A22">
        <f t="shared" si="0"/>
        <v>20</v>
      </c>
      <c r="B22" s="34"/>
      <c r="G22">
        <v>9</v>
      </c>
    </row>
    <row r="23" spans="1:7" x14ac:dyDescent="0.35">
      <c r="A23">
        <f t="shared" si="0"/>
        <v>21</v>
      </c>
      <c r="B23" s="34"/>
      <c r="G23">
        <v>10</v>
      </c>
    </row>
    <row r="24" spans="1:7" x14ac:dyDescent="0.35">
      <c r="A24" s="32">
        <v>22</v>
      </c>
      <c r="B24" s="34"/>
      <c r="G24">
        <v>11</v>
      </c>
    </row>
    <row r="25" spans="1:7" x14ac:dyDescent="0.35">
      <c r="A25" s="32">
        <v>23</v>
      </c>
      <c r="B25" s="34"/>
      <c r="G25">
        <v>12</v>
      </c>
    </row>
    <row r="26" spans="1:7" x14ac:dyDescent="0.35">
      <c r="A26">
        <v>24</v>
      </c>
      <c r="G26">
        <v>13</v>
      </c>
    </row>
    <row r="27" spans="1:7" x14ac:dyDescent="0.35">
      <c r="A27">
        <v>25</v>
      </c>
      <c r="G27">
        <v>14</v>
      </c>
    </row>
    <row r="28" spans="1:7" x14ac:dyDescent="0.35">
      <c r="G28">
        <v>15</v>
      </c>
    </row>
    <row r="29" spans="1:7" x14ac:dyDescent="0.35">
      <c r="G29">
        <v>16</v>
      </c>
    </row>
    <row r="30" spans="1:7" x14ac:dyDescent="0.35">
      <c r="G30">
        <v>17</v>
      </c>
    </row>
    <row r="31" spans="1:7" x14ac:dyDescent="0.35">
      <c r="G31">
        <v>18</v>
      </c>
    </row>
    <row r="32" spans="1:7" x14ac:dyDescent="0.35">
      <c r="G32">
        <v>19</v>
      </c>
    </row>
    <row r="33" spans="7:7" x14ac:dyDescent="0.35">
      <c r="G33">
        <v>20</v>
      </c>
    </row>
    <row r="34" spans="7:7" x14ac:dyDescent="0.35">
      <c r="G34">
        <v>21</v>
      </c>
    </row>
    <row r="35" spans="7:7" x14ac:dyDescent="0.35">
      <c r="G35">
        <v>22</v>
      </c>
    </row>
    <row r="36" spans="7:7" x14ac:dyDescent="0.35">
      <c r="G36">
        <v>23</v>
      </c>
    </row>
    <row r="37" spans="7:7" x14ac:dyDescent="0.35">
      <c r="G37">
        <v>24</v>
      </c>
    </row>
    <row r="38" spans="7:7" x14ac:dyDescent="0.35">
      <c r="G38">
        <v>25</v>
      </c>
    </row>
  </sheetData>
  <sheetProtection algorithmName="SHA-512" hashValue="+CY2QKqOJsgF2lEapehEcZTo9gpfFTGUgtorjYGR5l8h0qC2L61yxdqWLo1twtTJZ0UfWoMKs3NItKaeJsXopQ==" saltValue="gHBhTIKeK/C2S6NpypZQp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9B4DC-DC44-4756-A949-36581C476E29}">
  <sheetPr codeName="Hoja7"/>
  <dimension ref="A1:L194"/>
  <sheetViews>
    <sheetView zoomScale="70" zoomScaleNormal="70" workbookViewId="0">
      <pane xSplit="1" ySplit="2" topLeftCell="B40" activePane="bottomRight" state="frozen"/>
      <selection sqref="A1:B1"/>
      <selection pane="topRight" sqref="A1:B1"/>
      <selection pane="bottomLeft" sqref="A1:B1"/>
      <selection pane="bottomRight" activeCell="H2" sqref="H2"/>
    </sheetView>
  </sheetViews>
  <sheetFormatPr baseColWidth="10" defaultRowHeight="14.5" x14ac:dyDescent="0.35"/>
  <cols>
    <col min="1" max="1" width="63.6328125" customWidth="1"/>
    <col min="2" max="2" width="21.26953125" bestFit="1" customWidth="1"/>
    <col min="3" max="3" width="22.81640625" bestFit="1" customWidth="1"/>
    <col min="4" max="4" width="22.81640625" customWidth="1"/>
    <col min="5" max="5" width="10.7265625" bestFit="1" customWidth="1"/>
    <col min="6" max="6" width="22.1796875" bestFit="1" customWidth="1"/>
    <col min="7" max="7" width="19.1796875" bestFit="1" customWidth="1"/>
    <col min="8" max="8" width="12.1796875" bestFit="1" customWidth="1"/>
  </cols>
  <sheetData>
    <row r="1" spans="1:11" x14ac:dyDescent="0.35">
      <c r="I1" s="35">
        <v>1.4999999999999999E-2</v>
      </c>
      <c r="J1" s="35">
        <v>5.0000000000000001E-3</v>
      </c>
    </row>
    <row r="2" spans="1:11" x14ac:dyDescent="0.35">
      <c r="A2" s="36"/>
      <c r="B2" s="37" t="s">
        <v>311</v>
      </c>
      <c r="C2" s="37" t="s">
        <v>312</v>
      </c>
      <c r="D2" s="37" t="s">
        <v>412</v>
      </c>
      <c r="E2" s="37" t="s">
        <v>313</v>
      </c>
      <c r="F2" s="37" t="s">
        <v>314</v>
      </c>
      <c r="G2" s="37" t="s">
        <v>315</v>
      </c>
      <c r="H2" s="37" t="s">
        <v>316</v>
      </c>
      <c r="I2" s="37" t="s">
        <v>317</v>
      </c>
      <c r="J2" s="37" t="s">
        <v>318</v>
      </c>
      <c r="K2" s="37" t="s">
        <v>319</v>
      </c>
    </row>
    <row r="3" spans="1:11" x14ac:dyDescent="0.35">
      <c r="A3" s="38" t="str">
        <f t="shared" ref="A3:A34" si="0">D3&amp;B3&amp;G3</f>
        <v>Vivienda VISASALARIADO&lt;300</v>
      </c>
      <c r="B3" s="39" t="s">
        <v>320</v>
      </c>
      <c r="C3" t="s">
        <v>321</v>
      </c>
      <c r="D3" t="s">
        <v>401</v>
      </c>
      <c r="E3" s="36" t="s">
        <v>322</v>
      </c>
      <c r="F3" s="36" t="s">
        <v>323</v>
      </c>
      <c r="G3" s="36" t="s">
        <v>324</v>
      </c>
      <c r="H3" s="40">
        <f>+PROPUESTA!$C$24</f>
        <v>0.1399</v>
      </c>
      <c r="I3" s="40">
        <f t="shared" ref="I3:I34" si="1">+IF(H3="ERROR","ERROR",IF(LEFT(H3,1)="U",CONCATENATE("UVR + ",(RIGHT(H3,6)*1-I$1)*100,"%"),H3-I$1))</f>
        <v>0.1249</v>
      </c>
      <c r="J3" s="41">
        <v>0.1079</v>
      </c>
      <c r="K3" s="42">
        <f t="shared" ref="K3:K34" si="2">+IF(J3="ERROR","ERROR",IF(E3="NO VIS",50%,100%))</f>
        <v>1</v>
      </c>
    </row>
    <row r="4" spans="1:11" x14ac:dyDescent="0.35">
      <c r="A4" s="38" t="str">
        <f t="shared" si="0"/>
        <v>Vivienda VISASALARIADO&lt;300</v>
      </c>
      <c r="B4" s="39" t="s">
        <v>320</v>
      </c>
      <c r="C4" t="s">
        <v>325</v>
      </c>
      <c r="D4" t="s">
        <v>401</v>
      </c>
      <c r="E4" s="36" t="s">
        <v>322</v>
      </c>
      <c r="F4" s="36" t="s">
        <v>323</v>
      </c>
      <c r="G4" s="36" t="s">
        <v>324</v>
      </c>
      <c r="H4" s="40">
        <f>+PROPUESTA!$C$24</f>
        <v>0.1399</v>
      </c>
      <c r="I4" s="40">
        <f t="shared" si="1"/>
        <v>0.1249</v>
      </c>
      <c r="J4" s="41">
        <v>0.1079</v>
      </c>
      <c r="K4" s="42">
        <f t="shared" si="2"/>
        <v>1</v>
      </c>
    </row>
    <row r="5" spans="1:11" x14ac:dyDescent="0.35">
      <c r="A5" s="38" t="str">
        <f t="shared" si="0"/>
        <v>Vivienda VISASALARIADO&lt;300</v>
      </c>
      <c r="B5" s="39" t="s">
        <v>320</v>
      </c>
      <c r="C5" t="s">
        <v>326</v>
      </c>
      <c r="D5" t="s">
        <v>401</v>
      </c>
      <c r="E5" s="36" t="s">
        <v>322</v>
      </c>
      <c r="F5" s="36" t="s">
        <v>323</v>
      </c>
      <c r="G5" s="36" t="s">
        <v>324</v>
      </c>
      <c r="H5" s="40">
        <f>+PROPUESTA!$C$28</f>
        <v>0.15890000000000001</v>
      </c>
      <c r="I5" s="40">
        <f t="shared" si="1"/>
        <v>0.14390000000000003</v>
      </c>
      <c r="J5" s="40">
        <f>+IF(I5="ERROR","ERROR",IF(LEFT(I5,1)="U",CONCATENATE("UVR + ",(RIGHT(I5,6)*1-J$1)*100,"%"),I5-J$1))</f>
        <v>0.13890000000000002</v>
      </c>
      <c r="K5" s="42">
        <f t="shared" si="2"/>
        <v>1</v>
      </c>
    </row>
    <row r="6" spans="1:11" x14ac:dyDescent="0.35">
      <c r="A6" s="38" t="str">
        <f t="shared" si="0"/>
        <v>Vivienda VISASALARIADO&lt;300</v>
      </c>
      <c r="B6" s="39" t="s">
        <v>320</v>
      </c>
      <c r="C6" t="s">
        <v>331</v>
      </c>
      <c r="D6" t="s">
        <v>401</v>
      </c>
      <c r="E6" s="36" t="s">
        <v>322</v>
      </c>
      <c r="F6" s="36" t="s">
        <v>323</v>
      </c>
      <c r="G6" s="36" t="s">
        <v>324</v>
      </c>
      <c r="H6" s="40">
        <f>+PROPUESTA!$C$82</f>
        <v>0.1399</v>
      </c>
      <c r="I6" s="40">
        <f t="shared" si="1"/>
        <v>0.1249</v>
      </c>
      <c r="J6" s="41">
        <v>9.9900000000000003E-2</v>
      </c>
      <c r="K6" s="42">
        <f t="shared" si="2"/>
        <v>1</v>
      </c>
    </row>
    <row r="7" spans="1:11" x14ac:dyDescent="0.35">
      <c r="A7" s="38" t="str">
        <f t="shared" si="0"/>
        <v>Vivienda VISPENSIONADO&lt;300</v>
      </c>
      <c r="B7" s="39" t="s">
        <v>334</v>
      </c>
      <c r="C7" t="s">
        <v>321</v>
      </c>
      <c r="D7" t="s">
        <v>401</v>
      </c>
      <c r="E7" s="36" t="s">
        <v>322</v>
      </c>
      <c r="F7" s="36" t="s">
        <v>323</v>
      </c>
      <c r="G7" s="36" t="s">
        <v>324</v>
      </c>
      <c r="H7" s="40">
        <f>+PROPUESTA!$C$24</f>
        <v>0.1399</v>
      </c>
      <c r="I7" s="40">
        <f t="shared" si="1"/>
        <v>0.1249</v>
      </c>
      <c r="J7" s="41">
        <v>0.1079</v>
      </c>
      <c r="K7" s="42">
        <f t="shared" si="2"/>
        <v>1</v>
      </c>
    </row>
    <row r="8" spans="1:11" x14ac:dyDescent="0.35">
      <c r="A8" s="38" t="str">
        <f t="shared" si="0"/>
        <v>Vivienda VISPENSIONADO&lt;300</v>
      </c>
      <c r="B8" s="39" t="s">
        <v>334</v>
      </c>
      <c r="C8" t="s">
        <v>325</v>
      </c>
      <c r="D8" t="s">
        <v>401</v>
      </c>
      <c r="E8" s="36" t="s">
        <v>322</v>
      </c>
      <c r="F8" s="36" t="s">
        <v>323</v>
      </c>
      <c r="G8" s="36" t="s">
        <v>324</v>
      </c>
      <c r="H8" s="40">
        <f>+PROPUESTA!$C$24</f>
        <v>0.1399</v>
      </c>
      <c r="I8" s="40">
        <f t="shared" si="1"/>
        <v>0.1249</v>
      </c>
      <c r="J8" s="41">
        <v>0.1079</v>
      </c>
      <c r="K8" s="42">
        <f t="shared" si="2"/>
        <v>1</v>
      </c>
    </row>
    <row r="9" spans="1:11" x14ac:dyDescent="0.35">
      <c r="A9" s="38" t="str">
        <f t="shared" si="0"/>
        <v>Vivienda VISPENSIONADO&lt;300</v>
      </c>
      <c r="B9" s="39" t="s">
        <v>334</v>
      </c>
      <c r="C9" t="s">
        <v>326</v>
      </c>
      <c r="D9" t="s">
        <v>401</v>
      </c>
      <c r="E9" s="36" t="s">
        <v>322</v>
      </c>
      <c r="F9" s="36" t="s">
        <v>323</v>
      </c>
      <c r="G9" s="36" t="s">
        <v>324</v>
      </c>
      <c r="H9" s="40">
        <f>+PROPUESTA!$C$28</f>
        <v>0.15890000000000001</v>
      </c>
      <c r="I9" s="40">
        <f t="shared" si="1"/>
        <v>0.14390000000000003</v>
      </c>
      <c r="J9" s="40">
        <f>+IF(I9="ERROR","ERROR",IF(LEFT(I9,1)="U",CONCATENATE("UVR + ",(RIGHT(I9,6)*1-J$1)*100,"%"),I9-J$1))</f>
        <v>0.13890000000000002</v>
      </c>
      <c r="K9" s="42">
        <f t="shared" si="2"/>
        <v>1</v>
      </c>
    </row>
    <row r="10" spans="1:11" x14ac:dyDescent="0.35">
      <c r="A10" s="38" t="str">
        <f t="shared" si="0"/>
        <v>Vivienda VISPENSIONADO&lt;300</v>
      </c>
      <c r="B10" s="39" t="s">
        <v>334</v>
      </c>
      <c r="C10" t="s">
        <v>331</v>
      </c>
      <c r="D10" t="s">
        <v>401</v>
      </c>
      <c r="E10" s="36" t="s">
        <v>322</v>
      </c>
      <c r="F10" s="36" t="s">
        <v>323</v>
      </c>
      <c r="G10" s="36" t="s">
        <v>324</v>
      </c>
      <c r="H10" s="40">
        <f>+PROPUESTA!$C$82</f>
        <v>0.1399</v>
      </c>
      <c r="I10" s="40">
        <f t="shared" si="1"/>
        <v>0.1249</v>
      </c>
      <c r="J10" s="41">
        <v>9.9900000000000003E-2</v>
      </c>
      <c r="K10" s="42">
        <f t="shared" si="2"/>
        <v>1</v>
      </c>
    </row>
    <row r="11" spans="1:11" x14ac:dyDescent="0.35">
      <c r="A11" s="38" t="str">
        <f t="shared" si="0"/>
        <v>Vivienda VISINDEPENDIENTE&lt;300</v>
      </c>
      <c r="B11" s="39" t="s">
        <v>335</v>
      </c>
      <c r="C11" t="s">
        <v>321</v>
      </c>
      <c r="D11" t="s">
        <v>401</v>
      </c>
      <c r="E11" s="36" t="s">
        <v>322</v>
      </c>
      <c r="F11" s="36" t="s">
        <v>323</v>
      </c>
      <c r="G11" s="36" t="s">
        <v>324</v>
      </c>
      <c r="H11" s="40">
        <f>+PROPUESTA!$C$25</f>
        <v>0.1399</v>
      </c>
      <c r="I11" s="40">
        <f t="shared" si="1"/>
        <v>0.1249</v>
      </c>
      <c r="J11" s="41">
        <v>0.1079</v>
      </c>
      <c r="K11" s="42">
        <f t="shared" si="2"/>
        <v>1</v>
      </c>
    </row>
    <row r="12" spans="1:11" x14ac:dyDescent="0.35">
      <c r="A12" s="38" t="str">
        <f t="shared" si="0"/>
        <v>Vivienda VISINDEPENDIENTE&lt;300</v>
      </c>
      <c r="B12" s="39" t="s">
        <v>335</v>
      </c>
      <c r="C12" t="s">
        <v>325</v>
      </c>
      <c r="D12" t="s">
        <v>401</v>
      </c>
      <c r="E12" s="36" t="s">
        <v>322</v>
      </c>
      <c r="F12" s="36" t="s">
        <v>323</v>
      </c>
      <c r="G12" s="36" t="s">
        <v>324</v>
      </c>
      <c r="H12" s="40">
        <f>+PROPUESTA!$C$25</f>
        <v>0.1399</v>
      </c>
      <c r="I12" s="40">
        <f t="shared" si="1"/>
        <v>0.1249</v>
      </c>
      <c r="J12" s="41">
        <v>0.1079</v>
      </c>
      <c r="K12" s="42">
        <f t="shared" si="2"/>
        <v>1</v>
      </c>
    </row>
    <row r="13" spans="1:11" x14ac:dyDescent="0.35">
      <c r="A13" s="38" t="str">
        <f t="shared" si="0"/>
        <v>Vivienda VISINDEPENDIENTE&lt;300</v>
      </c>
      <c r="B13" s="39" t="s">
        <v>335</v>
      </c>
      <c r="C13" t="s">
        <v>326</v>
      </c>
      <c r="D13" t="s">
        <v>401</v>
      </c>
      <c r="E13" s="36" t="s">
        <v>322</v>
      </c>
      <c r="F13" s="36" t="s">
        <v>323</v>
      </c>
      <c r="G13" s="36" t="s">
        <v>324</v>
      </c>
      <c r="H13" s="40">
        <f>+PROPUESTA!$C$29</f>
        <v>0.15890000000000001</v>
      </c>
      <c r="I13" s="40">
        <f t="shared" si="1"/>
        <v>0.14390000000000003</v>
      </c>
      <c r="J13" s="40">
        <f>+IF(I13="ERROR","ERROR",IF(LEFT(I13,1)="U",CONCATENATE("UVR + ",(RIGHT(I13,6)*1-J$1)*100,"%"),I13-J$1))</f>
        <v>0.13890000000000002</v>
      </c>
      <c r="K13" s="42">
        <f t="shared" si="2"/>
        <v>1</v>
      </c>
    </row>
    <row r="14" spans="1:11" x14ac:dyDescent="0.35">
      <c r="A14" s="38" t="str">
        <f t="shared" si="0"/>
        <v>Vivienda VISINDEPENDIENTE&lt;300</v>
      </c>
      <c r="B14" s="39" t="s">
        <v>335</v>
      </c>
      <c r="C14" t="s">
        <v>331</v>
      </c>
      <c r="D14" t="s">
        <v>401</v>
      </c>
      <c r="E14" s="36" t="s">
        <v>322</v>
      </c>
      <c r="F14" s="36" t="s">
        <v>323</v>
      </c>
      <c r="G14" s="36" t="s">
        <v>324</v>
      </c>
      <c r="H14" s="40">
        <f>+PROPUESTA!$C$82</f>
        <v>0.1399</v>
      </c>
      <c r="I14" s="40">
        <f t="shared" si="1"/>
        <v>0.1249</v>
      </c>
      <c r="J14" s="41">
        <v>9.9900000000000003E-2</v>
      </c>
      <c r="K14" s="42">
        <f t="shared" si="2"/>
        <v>1</v>
      </c>
    </row>
    <row r="15" spans="1:11" x14ac:dyDescent="0.35">
      <c r="A15" s="38" t="str">
        <f t="shared" si="0"/>
        <v>Vivienda VISASALARIADO&lt;300</v>
      </c>
      <c r="B15" s="39" t="s">
        <v>320</v>
      </c>
      <c r="C15" t="s">
        <v>321</v>
      </c>
      <c r="D15" t="s">
        <v>401</v>
      </c>
      <c r="E15" s="36" t="s">
        <v>322</v>
      </c>
      <c r="F15" s="36" t="s">
        <v>336</v>
      </c>
      <c r="G15" s="36" t="s">
        <v>324</v>
      </c>
      <c r="H15" s="40" t="str">
        <f>+PROPUESTA!$B$6</f>
        <v>UVR + 9.59%</v>
      </c>
      <c r="I15" s="40" t="e">
        <f t="shared" si="1"/>
        <v>#VALUE!</v>
      </c>
      <c r="J15" s="40" t="e">
        <f t="shared" ref="J15:J26" si="3">+IF(I15="ERROR","ERROR",IF(LEFT(I15,1)="U",CONCATENATE("UVR + ",(RIGHT(I15,6)*1-J$1)*100,"%"),I15-J$1))</f>
        <v>#VALUE!</v>
      </c>
      <c r="K15" s="42" t="e">
        <f t="shared" si="2"/>
        <v>#VALUE!</v>
      </c>
    </row>
    <row r="16" spans="1:11" x14ac:dyDescent="0.35">
      <c r="A16" s="38" t="str">
        <f t="shared" si="0"/>
        <v>Vivienda VISASALARIADO&lt;300</v>
      </c>
      <c r="B16" s="39" t="s">
        <v>320</v>
      </c>
      <c r="C16" t="s">
        <v>325</v>
      </c>
      <c r="D16" t="s">
        <v>401</v>
      </c>
      <c r="E16" s="36" t="s">
        <v>322</v>
      </c>
      <c r="F16" s="36" t="s">
        <v>336</v>
      </c>
      <c r="G16" s="36" t="s">
        <v>324</v>
      </c>
      <c r="H16" s="40" t="str">
        <f>+PROPUESTA!$B$6</f>
        <v>UVR + 9.59%</v>
      </c>
      <c r="I16" s="40" t="e">
        <f t="shared" si="1"/>
        <v>#VALUE!</v>
      </c>
      <c r="J16" s="40" t="e">
        <f t="shared" si="3"/>
        <v>#VALUE!</v>
      </c>
      <c r="K16" s="42" t="e">
        <f t="shared" si="2"/>
        <v>#VALUE!</v>
      </c>
    </row>
    <row r="17" spans="1:11" x14ac:dyDescent="0.35">
      <c r="A17" s="38" t="str">
        <f t="shared" si="0"/>
        <v>Vivienda VISASALARIADO&lt;300</v>
      </c>
      <c r="B17" s="39" t="s">
        <v>320</v>
      </c>
      <c r="C17" t="s">
        <v>326</v>
      </c>
      <c r="D17" t="s">
        <v>401</v>
      </c>
      <c r="E17" s="36" t="s">
        <v>322</v>
      </c>
      <c r="F17" s="36" t="s">
        <v>336</v>
      </c>
      <c r="G17" s="36" t="s">
        <v>324</v>
      </c>
      <c r="H17" s="40" t="str">
        <f>+PROPUESTA!$B$10</f>
        <v>UVR + 9.59%</v>
      </c>
      <c r="I17" s="40" t="e">
        <f t="shared" si="1"/>
        <v>#VALUE!</v>
      </c>
      <c r="J17" s="40" t="e">
        <f t="shared" si="3"/>
        <v>#VALUE!</v>
      </c>
      <c r="K17" s="42" t="e">
        <f t="shared" si="2"/>
        <v>#VALUE!</v>
      </c>
    </row>
    <row r="18" spans="1:11" x14ac:dyDescent="0.35">
      <c r="A18" s="38" t="str">
        <f t="shared" si="0"/>
        <v>Vivienda VISASALARIADO&lt;300</v>
      </c>
      <c r="B18" s="39" t="s">
        <v>320</v>
      </c>
      <c r="C18" t="s">
        <v>331</v>
      </c>
      <c r="D18" t="s">
        <v>401</v>
      </c>
      <c r="E18" s="36" t="s">
        <v>322</v>
      </c>
      <c r="F18" s="36" t="s">
        <v>336</v>
      </c>
      <c r="G18" s="36" t="s">
        <v>324</v>
      </c>
      <c r="H18" s="40" t="str">
        <f>+PROPUESTA!$B$81</f>
        <v>UVR + 9.59%</v>
      </c>
      <c r="I18" s="40" t="e">
        <f t="shared" si="1"/>
        <v>#VALUE!</v>
      </c>
      <c r="J18" s="40" t="e">
        <f t="shared" si="3"/>
        <v>#VALUE!</v>
      </c>
      <c r="K18" s="42" t="e">
        <f t="shared" si="2"/>
        <v>#VALUE!</v>
      </c>
    </row>
    <row r="19" spans="1:11" x14ac:dyDescent="0.35">
      <c r="A19" s="38" t="str">
        <f t="shared" si="0"/>
        <v>Vivienda VISPENSIONADO&lt;300</v>
      </c>
      <c r="B19" s="39" t="s">
        <v>334</v>
      </c>
      <c r="C19" t="s">
        <v>321</v>
      </c>
      <c r="D19" t="s">
        <v>401</v>
      </c>
      <c r="E19" s="36" t="s">
        <v>322</v>
      </c>
      <c r="F19" s="36" t="s">
        <v>336</v>
      </c>
      <c r="G19" s="36" t="s">
        <v>324</v>
      </c>
      <c r="H19" s="40" t="str">
        <f>+PROPUESTA!$B$6</f>
        <v>UVR + 9.59%</v>
      </c>
      <c r="I19" s="40" t="e">
        <f t="shared" si="1"/>
        <v>#VALUE!</v>
      </c>
      <c r="J19" s="40" t="e">
        <f t="shared" si="3"/>
        <v>#VALUE!</v>
      </c>
      <c r="K19" s="42" t="e">
        <f t="shared" si="2"/>
        <v>#VALUE!</v>
      </c>
    </row>
    <row r="20" spans="1:11" x14ac:dyDescent="0.35">
      <c r="A20" s="38" t="str">
        <f t="shared" si="0"/>
        <v>Vivienda VISPENSIONADO&lt;300</v>
      </c>
      <c r="B20" s="39" t="s">
        <v>334</v>
      </c>
      <c r="C20" t="s">
        <v>325</v>
      </c>
      <c r="D20" t="s">
        <v>401</v>
      </c>
      <c r="E20" s="36" t="s">
        <v>322</v>
      </c>
      <c r="F20" s="36" t="s">
        <v>336</v>
      </c>
      <c r="G20" s="36" t="s">
        <v>324</v>
      </c>
      <c r="H20" s="40" t="str">
        <f>+PROPUESTA!$B$6</f>
        <v>UVR + 9.59%</v>
      </c>
      <c r="I20" s="40" t="e">
        <f t="shared" si="1"/>
        <v>#VALUE!</v>
      </c>
      <c r="J20" s="40" t="e">
        <f t="shared" si="3"/>
        <v>#VALUE!</v>
      </c>
      <c r="K20" s="42" t="e">
        <f t="shared" si="2"/>
        <v>#VALUE!</v>
      </c>
    </row>
    <row r="21" spans="1:11" x14ac:dyDescent="0.35">
      <c r="A21" s="38" t="str">
        <f t="shared" si="0"/>
        <v>Vivienda VISPENSIONADO&lt;300</v>
      </c>
      <c r="B21" s="39" t="s">
        <v>334</v>
      </c>
      <c r="C21" t="s">
        <v>326</v>
      </c>
      <c r="D21" t="s">
        <v>401</v>
      </c>
      <c r="E21" s="36" t="s">
        <v>322</v>
      </c>
      <c r="F21" s="36" t="s">
        <v>336</v>
      </c>
      <c r="G21" s="36" t="s">
        <v>324</v>
      </c>
      <c r="H21" s="40" t="str">
        <f>+PROPUESTA!$B$10</f>
        <v>UVR + 9.59%</v>
      </c>
      <c r="I21" s="40" t="e">
        <f t="shared" si="1"/>
        <v>#VALUE!</v>
      </c>
      <c r="J21" s="40" t="e">
        <f t="shared" si="3"/>
        <v>#VALUE!</v>
      </c>
      <c r="K21" s="42" t="e">
        <f t="shared" si="2"/>
        <v>#VALUE!</v>
      </c>
    </row>
    <row r="22" spans="1:11" x14ac:dyDescent="0.35">
      <c r="A22" s="38" t="str">
        <f t="shared" si="0"/>
        <v>Vivienda VISPENSIONADO&lt;300</v>
      </c>
      <c r="B22" s="39" t="s">
        <v>334</v>
      </c>
      <c r="C22" t="s">
        <v>331</v>
      </c>
      <c r="D22" t="s">
        <v>401</v>
      </c>
      <c r="E22" s="36" t="s">
        <v>322</v>
      </c>
      <c r="F22" s="36" t="s">
        <v>336</v>
      </c>
      <c r="G22" s="36" t="s">
        <v>324</v>
      </c>
      <c r="H22" s="40" t="str">
        <f>+PROPUESTA!$B$81</f>
        <v>UVR + 9.59%</v>
      </c>
      <c r="I22" s="40" t="e">
        <f t="shared" si="1"/>
        <v>#VALUE!</v>
      </c>
      <c r="J22" s="40" t="e">
        <f t="shared" si="3"/>
        <v>#VALUE!</v>
      </c>
      <c r="K22" s="42" t="e">
        <f t="shared" si="2"/>
        <v>#VALUE!</v>
      </c>
    </row>
    <row r="23" spans="1:11" x14ac:dyDescent="0.35">
      <c r="A23" s="38" t="str">
        <f t="shared" si="0"/>
        <v>Vivienda VISINDEPENDIENTE&lt;300</v>
      </c>
      <c r="B23" s="39" t="s">
        <v>335</v>
      </c>
      <c r="C23" t="s">
        <v>321</v>
      </c>
      <c r="D23" t="s">
        <v>401</v>
      </c>
      <c r="E23" s="36" t="s">
        <v>322</v>
      </c>
      <c r="F23" s="36" t="s">
        <v>336</v>
      </c>
      <c r="G23" s="36" t="s">
        <v>324</v>
      </c>
      <c r="H23" s="40" t="str">
        <f>+PROPUESTA!$B$7</f>
        <v>UVR + 9.59%</v>
      </c>
      <c r="I23" s="40" t="e">
        <f t="shared" si="1"/>
        <v>#VALUE!</v>
      </c>
      <c r="J23" s="40" t="e">
        <f t="shared" si="3"/>
        <v>#VALUE!</v>
      </c>
      <c r="K23" s="42" t="e">
        <f t="shared" si="2"/>
        <v>#VALUE!</v>
      </c>
    </row>
    <row r="24" spans="1:11" x14ac:dyDescent="0.35">
      <c r="A24" s="38" t="str">
        <f t="shared" si="0"/>
        <v>Vivienda VISINDEPENDIENTE&lt;300</v>
      </c>
      <c r="B24" s="39" t="s">
        <v>335</v>
      </c>
      <c r="C24" t="s">
        <v>325</v>
      </c>
      <c r="D24" t="s">
        <v>401</v>
      </c>
      <c r="E24" s="36" t="s">
        <v>322</v>
      </c>
      <c r="F24" s="36" t="s">
        <v>336</v>
      </c>
      <c r="G24" s="36" t="s">
        <v>324</v>
      </c>
      <c r="H24" s="40" t="str">
        <f>+PROPUESTA!$B$7</f>
        <v>UVR + 9.59%</v>
      </c>
      <c r="I24" s="40" t="e">
        <f t="shared" si="1"/>
        <v>#VALUE!</v>
      </c>
      <c r="J24" s="40" t="e">
        <f t="shared" si="3"/>
        <v>#VALUE!</v>
      </c>
      <c r="K24" s="42" t="e">
        <f t="shared" si="2"/>
        <v>#VALUE!</v>
      </c>
    </row>
    <row r="25" spans="1:11" x14ac:dyDescent="0.35">
      <c r="A25" s="38" t="str">
        <f t="shared" si="0"/>
        <v>Vivienda VISINDEPENDIENTE&lt;300</v>
      </c>
      <c r="B25" s="39" t="s">
        <v>335</v>
      </c>
      <c r="C25" t="s">
        <v>326</v>
      </c>
      <c r="D25" t="s">
        <v>401</v>
      </c>
      <c r="E25" s="36" t="s">
        <v>322</v>
      </c>
      <c r="F25" s="36" t="s">
        <v>336</v>
      </c>
      <c r="G25" s="36" t="s">
        <v>324</v>
      </c>
      <c r="H25" s="40" t="str">
        <f>+PROPUESTA!$B$11</f>
        <v>UVR + 9.59%</v>
      </c>
      <c r="I25" s="40" t="e">
        <f t="shared" si="1"/>
        <v>#VALUE!</v>
      </c>
      <c r="J25" s="40" t="e">
        <f t="shared" si="3"/>
        <v>#VALUE!</v>
      </c>
      <c r="K25" s="42" t="e">
        <f t="shared" si="2"/>
        <v>#VALUE!</v>
      </c>
    </row>
    <row r="26" spans="1:11" x14ac:dyDescent="0.35">
      <c r="A26" s="38" t="str">
        <f t="shared" si="0"/>
        <v>Vivienda VISINDEPENDIENTE&lt;300</v>
      </c>
      <c r="B26" s="39" t="s">
        <v>335</v>
      </c>
      <c r="C26" t="s">
        <v>331</v>
      </c>
      <c r="D26" t="s">
        <v>401</v>
      </c>
      <c r="E26" s="36" t="s">
        <v>322</v>
      </c>
      <c r="F26" s="36" t="s">
        <v>336</v>
      </c>
      <c r="G26" s="36" t="s">
        <v>324</v>
      </c>
      <c r="H26" s="40" t="str">
        <f>+PROPUESTA!$B$81</f>
        <v>UVR + 9.59%</v>
      </c>
      <c r="I26" s="40" t="e">
        <f t="shared" si="1"/>
        <v>#VALUE!</v>
      </c>
      <c r="J26" s="40" t="e">
        <f t="shared" si="3"/>
        <v>#VALUE!</v>
      </c>
      <c r="K26" s="42" t="e">
        <f t="shared" si="2"/>
        <v>#VALUE!</v>
      </c>
    </row>
    <row r="27" spans="1:11" x14ac:dyDescent="0.35">
      <c r="A27" s="38" t="str">
        <f t="shared" si="0"/>
        <v>Vivienda NO VISASALARIADO&lt;300</v>
      </c>
      <c r="B27" s="39" t="s">
        <v>320</v>
      </c>
      <c r="C27" t="s">
        <v>321</v>
      </c>
      <c r="D27" t="s">
        <v>402</v>
      </c>
      <c r="E27" s="36" t="s">
        <v>337</v>
      </c>
      <c r="F27" s="36" t="s">
        <v>323</v>
      </c>
      <c r="G27" s="36" t="s">
        <v>324</v>
      </c>
      <c r="H27" s="40">
        <f>+PROPUESTA!$C$32</f>
        <v>0.15590000000000001</v>
      </c>
      <c r="I27" s="40">
        <f t="shared" si="1"/>
        <v>0.14090000000000003</v>
      </c>
      <c r="J27" s="41">
        <v>0.1149</v>
      </c>
      <c r="K27" s="42">
        <f t="shared" si="2"/>
        <v>0.5</v>
      </c>
    </row>
    <row r="28" spans="1:11" x14ac:dyDescent="0.35">
      <c r="A28" s="38" t="str">
        <f t="shared" si="0"/>
        <v>Vivienda NO VISASALARIADO&lt;300</v>
      </c>
      <c r="B28" s="39" t="s">
        <v>320</v>
      </c>
      <c r="C28" t="s">
        <v>325</v>
      </c>
      <c r="D28" t="s">
        <v>402</v>
      </c>
      <c r="E28" s="36" t="s">
        <v>337</v>
      </c>
      <c r="F28" s="36" t="s">
        <v>323</v>
      </c>
      <c r="G28" s="36" t="s">
        <v>324</v>
      </c>
      <c r="H28" s="40">
        <f>+PROPUESTA!$C$32</f>
        <v>0.15590000000000001</v>
      </c>
      <c r="I28" s="40">
        <f t="shared" si="1"/>
        <v>0.14090000000000003</v>
      </c>
      <c r="J28" s="41">
        <v>0.1149</v>
      </c>
      <c r="K28" s="42">
        <f t="shared" si="2"/>
        <v>0.5</v>
      </c>
    </row>
    <row r="29" spans="1:11" x14ac:dyDescent="0.35">
      <c r="A29" s="38" t="str">
        <f t="shared" si="0"/>
        <v>Vivienda NO VISASALARIADO&lt;300</v>
      </c>
      <c r="B29" s="39" t="s">
        <v>320</v>
      </c>
      <c r="C29" t="s">
        <v>326</v>
      </c>
      <c r="D29" t="s">
        <v>402</v>
      </c>
      <c r="E29" s="36" t="s">
        <v>337</v>
      </c>
      <c r="F29" s="36" t="s">
        <v>323</v>
      </c>
      <c r="G29" s="36" t="s">
        <v>324</v>
      </c>
      <c r="H29" s="40">
        <f>+PROPUESTA!$C$32</f>
        <v>0.15590000000000001</v>
      </c>
      <c r="I29" s="40">
        <f t="shared" si="1"/>
        <v>0.14090000000000003</v>
      </c>
      <c r="J29" s="41">
        <v>0.1149</v>
      </c>
      <c r="K29" s="42">
        <f t="shared" si="2"/>
        <v>0.5</v>
      </c>
    </row>
    <row r="30" spans="1:11" x14ac:dyDescent="0.35">
      <c r="A30" s="38" t="str">
        <f t="shared" si="0"/>
        <v>Vivienda NO VISASALARIADO&lt;300</v>
      </c>
      <c r="B30" s="39" t="s">
        <v>320</v>
      </c>
      <c r="C30" t="s">
        <v>327</v>
      </c>
      <c r="D30" t="s">
        <v>402</v>
      </c>
      <c r="E30" s="36" t="s">
        <v>337</v>
      </c>
      <c r="F30" s="36" t="s">
        <v>323</v>
      </c>
      <c r="G30" s="36" t="s">
        <v>324</v>
      </c>
      <c r="H30" s="40">
        <f>+PROPUESTA!$C$73</f>
        <v>0.15590000000000001</v>
      </c>
      <c r="I30" s="40">
        <f t="shared" si="1"/>
        <v>0.14090000000000003</v>
      </c>
      <c r="J30" s="41">
        <v>0.1099</v>
      </c>
      <c r="K30" s="42">
        <f t="shared" si="2"/>
        <v>0.5</v>
      </c>
    </row>
    <row r="31" spans="1:11" x14ac:dyDescent="0.35">
      <c r="A31" s="38" t="str">
        <f t="shared" si="0"/>
        <v>ComercialASALARIADO&lt;300</v>
      </c>
      <c r="B31" s="39" t="s">
        <v>320</v>
      </c>
      <c r="C31" t="s">
        <v>329</v>
      </c>
      <c r="D31" t="s">
        <v>306</v>
      </c>
      <c r="E31" s="36" t="s">
        <v>337</v>
      </c>
      <c r="F31" s="36" t="s">
        <v>323</v>
      </c>
      <c r="G31" s="36" t="s">
        <v>324</v>
      </c>
      <c r="H31" s="40">
        <f>+PROPUESTA!$C$53</f>
        <v>0.22270000000000001</v>
      </c>
      <c r="I31" s="40">
        <f t="shared" si="1"/>
        <v>0.2077</v>
      </c>
      <c r="J31" s="40">
        <f>+IF(I31="ERROR","ERROR",IF(LEFT(I31,1)="U",CONCATENATE("UVR + ",(RIGHT(I31,6)*1-J$1)*100,"%"),I31-J$1))</f>
        <v>0.20269999999999999</v>
      </c>
      <c r="K31" s="42">
        <f t="shared" si="2"/>
        <v>0.5</v>
      </c>
    </row>
    <row r="32" spans="1:11" x14ac:dyDescent="0.35">
      <c r="A32" s="38" t="str">
        <f t="shared" si="0"/>
        <v>Libre InversiónASALARIADO&lt;300</v>
      </c>
      <c r="B32" s="39" t="s">
        <v>320</v>
      </c>
      <c r="C32" t="s">
        <v>330</v>
      </c>
      <c r="D32" t="s">
        <v>303</v>
      </c>
      <c r="E32" s="36" t="s">
        <v>337</v>
      </c>
      <c r="F32" s="36" t="s">
        <v>323</v>
      </c>
      <c r="G32" s="36" t="s">
        <v>324</v>
      </c>
      <c r="H32" s="40">
        <f>+PROPUESTA!$C$42</f>
        <v>0.2117</v>
      </c>
      <c r="I32" s="40">
        <f t="shared" si="1"/>
        <v>0.19669999999999999</v>
      </c>
      <c r="J32" s="40">
        <f>+IF(I32="ERROR","ERROR",IF(LEFT(I32,1)="U",CONCATENATE("UVR + ",(RIGHT(I32,6)*1-J$1)*100,"%"),I32-J$1))</f>
        <v>0.19169999999999998</v>
      </c>
      <c r="K32" s="42">
        <f t="shared" si="2"/>
        <v>0.5</v>
      </c>
    </row>
    <row r="33" spans="1:12" x14ac:dyDescent="0.35">
      <c r="A33" s="38" t="str">
        <f t="shared" si="0"/>
        <v>Vivienda NO VISASALARIADO&lt;300</v>
      </c>
      <c r="B33" s="39" t="s">
        <v>320</v>
      </c>
      <c r="C33" t="s">
        <v>331</v>
      </c>
      <c r="D33" t="s">
        <v>402</v>
      </c>
      <c r="E33" s="36" t="s">
        <v>337</v>
      </c>
      <c r="F33" s="36" t="s">
        <v>323</v>
      </c>
      <c r="G33" s="36" t="s">
        <v>324</v>
      </c>
      <c r="H33" s="40">
        <f>+PROPUESTA!$C$80</f>
        <v>0.15590000000000001</v>
      </c>
      <c r="I33" s="40">
        <f t="shared" si="1"/>
        <v>0.14090000000000003</v>
      </c>
      <c r="J33" s="41">
        <v>0.1099</v>
      </c>
      <c r="K33" s="42">
        <f t="shared" si="2"/>
        <v>0.5</v>
      </c>
    </row>
    <row r="34" spans="1:12" x14ac:dyDescent="0.35">
      <c r="A34" s="38" t="str">
        <f t="shared" si="0"/>
        <v>NOASALARIADO&lt;300</v>
      </c>
      <c r="B34" s="39" t="s">
        <v>320</v>
      </c>
      <c r="C34" t="s">
        <v>332</v>
      </c>
      <c r="D34" t="s">
        <v>413</v>
      </c>
      <c r="E34" s="36" t="s">
        <v>337</v>
      </c>
      <c r="F34" s="36" t="s">
        <v>323</v>
      </c>
      <c r="G34" s="36" t="s">
        <v>324</v>
      </c>
      <c r="H34" s="40">
        <f>+PROPUESTA!$C$60</f>
        <v>0.16889999999999999</v>
      </c>
      <c r="I34" s="40">
        <f t="shared" si="1"/>
        <v>0.15389999999999998</v>
      </c>
      <c r="J34" s="40">
        <f>+IF(I34="ERROR","ERROR",IF(LEFT(I34,1)="U",CONCATENATE("UVR + ",(RIGHT(I34,6)*1-J$1)*100,"%"),I34-J$1))</f>
        <v>0.14889999999999998</v>
      </c>
      <c r="K34" s="42">
        <f t="shared" si="2"/>
        <v>0.5</v>
      </c>
    </row>
    <row r="35" spans="1:12" x14ac:dyDescent="0.35">
      <c r="A35" s="38" t="str">
        <f t="shared" ref="A35:A66" si="4">D35&amp;B35&amp;G35</f>
        <v>Vivienda NO VISASALARIADO&gt;=300</v>
      </c>
      <c r="B35" s="39" t="s">
        <v>320</v>
      </c>
      <c r="C35" t="s">
        <v>321</v>
      </c>
      <c r="D35" t="s">
        <v>402</v>
      </c>
      <c r="E35" s="36" t="s">
        <v>337</v>
      </c>
      <c r="F35" s="36" t="s">
        <v>323</v>
      </c>
      <c r="G35" s="36" t="s">
        <v>333</v>
      </c>
      <c r="H35" s="40">
        <f>+PROPUESTA!$C$35</f>
        <v>0.15590000000000001</v>
      </c>
      <c r="I35" s="40">
        <f t="shared" ref="I35:I66" si="5">+IF(H35="ERROR","ERROR",IF(LEFT(H35,1)="U",CONCATENATE("UVR + ",(RIGHT(H35,6)*1-I$1)*100,"%"),H35-I$1))</f>
        <v>0.14090000000000003</v>
      </c>
      <c r="J35" s="41">
        <v>0.1149</v>
      </c>
      <c r="K35" s="42">
        <f t="shared" ref="K35:K66" si="6">+IF(J35="ERROR","ERROR",IF(E35="NO VIS",50%,100%))</f>
        <v>0.5</v>
      </c>
    </row>
    <row r="36" spans="1:12" x14ac:dyDescent="0.35">
      <c r="A36" s="38" t="str">
        <f t="shared" si="4"/>
        <v>Vivienda NO VISASALARIADO&gt;=300</v>
      </c>
      <c r="B36" s="39" t="s">
        <v>320</v>
      </c>
      <c r="C36" t="s">
        <v>325</v>
      </c>
      <c r="D36" t="s">
        <v>402</v>
      </c>
      <c r="E36" s="36" t="s">
        <v>337</v>
      </c>
      <c r="F36" s="36" t="s">
        <v>323</v>
      </c>
      <c r="G36" s="36" t="s">
        <v>333</v>
      </c>
      <c r="H36" s="40">
        <f>+PROPUESTA!$C$35</f>
        <v>0.15590000000000001</v>
      </c>
      <c r="I36" s="40">
        <f t="shared" si="5"/>
        <v>0.14090000000000003</v>
      </c>
      <c r="J36" s="41">
        <v>0.1149</v>
      </c>
      <c r="K36" s="42">
        <f t="shared" si="6"/>
        <v>0.5</v>
      </c>
    </row>
    <row r="37" spans="1:12" x14ac:dyDescent="0.35">
      <c r="A37" s="38" t="str">
        <f t="shared" si="4"/>
        <v>Vivienda NO VISASALARIADO&gt;=300</v>
      </c>
      <c r="B37" s="39" t="s">
        <v>320</v>
      </c>
      <c r="C37" t="s">
        <v>326</v>
      </c>
      <c r="D37" t="s">
        <v>402</v>
      </c>
      <c r="E37" s="36" t="s">
        <v>337</v>
      </c>
      <c r="F37" s="36" t="s">
        <v>323</v>
      </c>
      <c r="G37" s="36" t="s">
        <v>333</v>
      </c>
      <c r="H37" s="40">
        <f>+PROPUESTA!$C$35</f>
        <v>0.15590000000000001</v>
      </c>
      <c r="I37" s="40">
        <f t="shared" si="5"/>
        <v>0.14090000000000003</v>
      </c>
      <c r="J37" s="41">
        <v>0.1149</v>
      </c>
      <c r="K37" s="42">
        <f t="shared" si="6"/>
        <v>0.5</v>
      </c>
    </row>
    <row r="38" spans="1:12" x14ac:dyDescent="0.35">
      <c r="A38" s="38" t="str">
        <f t="shared" si="4"/>
        <v>Vivienda NO VISASALARIADO&gt;=300</v>
      </c>
      <c r="B38" s="39" t="s">
        <v>320</v>
      </c>
      <c r="C38" t="s">
        <v>327</v>
      </c>
      <c r="D38" t="s">
        <v>402</v>
      </c>
      <c r="E38" s="36" t="s">
        <v>337</v>
      </c>
      <c r="F38" s="36" t="s">
        <v>323</v>
      </c>
      <c r="G38" s="36" t="s">
        <v>333</v>
      </c>
      <c r="H38" s="40">
        <f>+PROPUESTA!$C$73</f>
        <v>0.15590000000000001</v>
      </c>
      <c r="I38" s="40">
        <f t="shared" si="5"/>
        <v>0.14090000000000003</v>
      </c>
      <c r="J38" s="41">
        <v>0.1099</v>
      </c>
      <c r="K38" s="42">
        <f t="shared" si="6"/>
        <v>0.5</v>
      </c>
    </row>
    <row r="39" spans="1:12" x14ac:dyDescent="0.35">
      <c r="A39" s="38" t="str">
        <f t="shared" si="4"/>
        <v>ComercialASALARIADO&gt;=300</v>
      </c>
      <c r="B39" s="39" t="s">
        <v>320</v>
      </c>
      <c r="C39" t="s">
        <v>329</v>
      </c>
      <c r="D39" t="s">
        <v>306</v>
      </c>
      <c r="E39" s="36" t="s">
        <v>337</v>
      </c>
      <c r="F39" s="36" t="s">
        <v>323</v>
      </c>
      <c r="G39" s="36" t="s">
        <v>333</v>
      </c>
      <c r="H39" s="40">
        <f>+PROPUESTA!$C$55</f>
        <v>0.21970000000000001</v>
      </c>
      <c r="I39" s="40">
        <f t="shared" si="5"/>
        <v>0.20469999999999999</v>
      </c>
      <c r="J39" s="40">
        <f>+IF(I39="ERROR","ERROR",IF(LEFT(I39,1)="U",CONCATENATE("UVR + ",(RIGHT(I39,6)*1-J$1)*100,"%"),I39-J$1))</f>
        <v>0.19969999999999999</v>
      </c>
      <c r="K39" s="42">
        <f t="shared" si="6"/>
        <v>0.5</v>
      </c>
    </row>
    <row r="40" spans="1:12" x14ac:dyDescent="0.35">
      <c r="A40" s="38" t="str">
        <f t="shared" si="4"/>
        <v>Libre InversiónASALARIADO&gt;=300</v>
      </c>
      <c r="B40" s="39" t="s">
        <v>320</v>
      </c>
      <c r="C40" t="s">
        <v>330</v>
      </c>
      <c r="D40" t="s">
        <v>303</v>
      </c>
      <c r="E40" s="36" t="s">
        <v>337</v>
      </c>
      <c r="F40" s="36" t="s">
        <v>323</v>
      </c>
      <c r="G40" s="36" t="s">
        <v>333</v>
      </c>
      <c r="H40" s="40">
        <f>+PROPUESTA!$C$45</f>
        <v>0.20169999999999999</v>
      </c>
      <c r="I40" s="40">
        <f t="shared" si="5"/>
        <v>0.18669999999999998</v>
      </c>
      <c r="J40" s="40">
        <f>+IF(I40="ERROR","ERROR",IF(LEFT(I40,1)="U",CONCATENATE("UVR + ",(RIGHT(I40,6)*1-J$1)*100,"%"),I40-J$1))</f>
        <v>0.18169999999999997</v>
      </c>
      <c r="K40" s="42">
        <f t="shared" si="6"/>
        <v>0.5</v>
      </c>
    </row>
    <row r="41" spans="1:12" x14ac:dyDescent="0.35">
      <c r="A41" s="38" t="str">
        <f t="shared" si="4"/>
        <v>Vivienda NO VISASALARIADO&gt;=300</v>
      </c>
      <c r="B41" s="39" t="s">
        <v>320</v>
      </c>
      <c r="C41" t="s">
        <v>331</v>
      </c>
      <c r="D41" t="s">
        <v>402</v>
      </c>
      <c r="E41" s="36" t="s">
        <v>337</v>
      </c>
      <c r="F41" s="36" t="s">
        <v>323</v>
      </c>
      <c r="G41" s="36" t="s">
        <v>333</v>
      </c>
      <c r="H41" s="40">
        <f>+PROPUESTA!$C$80</f>
        <v>0.15590000000000001</v>
      </c>
      <c r="I41" s="40">
        <f t="shared" si="5"/>
        <v>0.14090000000000003</v>
      </c>
      <c r="J41" s="41">
        <v>0.1099</v>
      </c>
      <c r="K41" s="42">
        <f t="shared" si="6"/>
        <v>0.5</v>
      </c>
      <c r="L41" s="40"/>
    </row>
    <row r="42" spans="1:12" x14ac:dyDescent="0.35">
      <c r="A42" s="38" t="str">
        <f t="shared" si="4"/>
        <v>NOASALARIADO&gt;=300</v>
      </c>
      <c r="B42" s="39" t="s">
        <v>320</v>
      </c>
      <c r="C42" t="s">
        <v>332</v>
      </c>
      <c r="D42" t="s">
        <v>413</v>
      </c>
      <c r="E42" s="36" t="s">
        <v>337</v>
      </c>
      <c r="F42" s="36" t="s">
        <v>323</v>
      </c>
      <c r="G42" s="36" t="s">
        <v>333</v>
      </c>
      <c r="H42" s="40">
        <f>+PROPUESTA!$C$63</f>
        <v>0.16689999999999999</v>
      </c>
      <c r="I42" s="40">
        <f t="shared" si="5"/>
        <v>0.15189999999999998</v>
      </c>
      <c r="J42" s="40">
        <f>+IF(I42="ERROR","ERROR",IF(LEFT(I42,1)="U",CONCATENATE("UVR + ",(RIGHT(I42,6)*1-J$1)*100,"%"),I42-J$1))</f>
        <v>0.14689999999999998</v>
      </c>
      <c r="K42" s="42">
        <f t="shared" si="6"/>
        <v>0.5</v>
      </c>
    </row>
    <row r="43" spans="1:12" x14ac:dyDescent="0.35">
      <c r="A43" s="38" t="str">
        <f t="shared" si="4"/>
        <v>Vivienda NO VISPENSIONADO&lt;300</v>
      </c>
      <c r="B43" s="39" t="s">
        <v>334</v>
      </c>
      <c r="C43" t="s">
        <v>321</v>
      </c>
      <c r="D43" t="s">
        <v>402</v>
      </c>
      <c r="E43" s="36" t="s">
        <v>337</v>
      </c>
      <c r="F43" s="36" t="s">
        <v>323</v>
      </c>
      <c r="G43" s="36" t="s">
        <v>324</v>
      </c>
      <c r="H43" s="40">
        <f>+PROPUESTA!$C$32</f>
        <v>0.15590000000000001</v>
      </c>
      <c r="I43" s="40">
        <f t="shared" si="5"/>
        <v>0.14090000000000003</v>
      </c>
      <c r="J43" s="41">
        <v>0.1149</v>
      </c>
      <c r="K43" s="42">
        <f t="shared" si="6"/>
        <v>0.5</v>
      </c>
    </row>
    <row r="44" spans="1:12" x14ac:dyDescent="0.35">
      <c r="A44" s="38" t="str">
        <f t="shared" si="4"/>
        <v>Vivienda NO VISPENSIONADO&lt;300</v>
      </c>
      <c r="B44" s="39" t="s">
        <v>334</v>
      </c>
      <c r="C44" t="s">
        <v>325</v>
      </c>
      <c r="D44" t="s">
        <v>402</v>
      </c>
      <c r="E44" s="36" t="s">
        <v>337</v>
      </c>
      <c r="F44" s="36" t="s">
        <v>323</v>
      </c>
      <c r="G44" s="36" t="s">
        <v>324</v>
      </c>
      <c r="H44" s="40">
        <f>+PROPUESTA!$C$32</f>
        <v>0.15590000000000001</v>
      </c>
      <c r="I44" s="40">
        <f t="shared" si="5"/>
        <v>0.14090000000000003</v>
      </c>
      <c r="J44" s="41">
        <v>0.1149</v>
      </c>
      <c r="K44" s="42">
        <f t="shared" si="6"/>
        <v>0.5</v>
      </c>
    </row>
    <row r="45" spans="1:12" x14ac:dyDescent="0.35">
      <c r="A45" s="38" t="str">
        <f t="shared" si="4"/>
        <v>Vivienda NO VISPENSIONADO&lt;300</v>
      </c>
      <c r="B45" s="39" t="s">
        <v>334</v>
      </c>
      <c r="C45" t="s">
        <v>326</v>
      </c>
      <c r="D45" t="s">
        <v>402</v>
      </c>
      <c r="E45" s="36" t="s">
        <v>337</v>
      </c>
      <c r="F45" s="36" t="s">
        <v>323</v>
      </c>
      <c r="G45" s="36" t="s">
        <v>324</v>
      </c>
      <c r="H45" s="40">
        <f>+PROPUESTA!$C$32</f>
        <v>0.15590000000000001</v>
      </c>
      <c r="I45" s="40">
        <f t="shared" si="5"/>
        <v>0.14090000000000003</v>
      </c>
      <c r="J45" s="41">
        <v>0.1149</v>
      </c>
      <c r="K45" s="42">
        <f t="shared" si="6"/>
        <v>0.5</v>
      </c>
    </row>
    <row r="46" spans="1:12" x14ac:dyDescent="0.35">
      <c r="A46" s="38" t="str">
        <f t="shared" si="4"/>
        <v>Vivienda NO VISPENSIONADO&lt;300</v>
      </c>
      <c r="B46" s="39" t="s">
        <v>334</v>
      </c>
      <c r="C46" t="s">
        <v>327</v>
      </c>
      <c r="D46" t="s">
        <v>402</v>
      </c>
      <c r="E46" s="36" t="s">
        <v>337</v>
      </c>
      <c r="F46" s="36" t="s">
        <v>323</v>
      </c>
      <c r="G46" s="36" t="s">
        <v>324</v>
      </c>
      <c r="H46" s="40">
        <f>+PROPUESTA!$C$73</f>
        <v>0.15590000000000001</v>
      </c>
      <c r="I46" s="40">
        <f t="shared" si="5"/>
        <v>0.14090000000000003</v>
      </c>
      <c r="J46" s="41">
        <v>0.1099</v>
      </c>
      <c r="K46" s="42">
        <f t="shared" si="6"/>
        <v>0.5</v>
      </c>
    </row>
    <row r="47" spans="1:12" x14ac:dyDescent="0.35">
      <c r="A47" s="38" t="str">
        <f t="shared" si="4"/>
        <v>ComercialPENSIONADO&lt;300</v>
      </c>
      <c r="B47" s="39" t="s">
        <v>334</v>
      </c>
      <c r="C47" t="s">
        <v>329</v>
      </c>
      <c r="D47" t="s">
        <v>306</v>
      </c>
      <c r="E47" s="36" t="s">
        <v>337</v>
      </c>
      <c r="F47" s="36" t="s">
        <v>323</v>
      </c>
      <c r="G47" s="36" t="s">
        <v>324</v>
      </c>
      <c r="H47" s="40">
        <f>+PROPUESTA!$C$53</f>
        <v>0.22270000000000001</v>
      </c>
      <c r="I47" s="40">
        <f t="shared" si="5"/>
        <v>0.2077</v>
      </c>
      <c r="J47" s="40">
        <f>+IF(I47="ERROR","ERROR",IF(LEFT(I47,1)="U",CONCATENATE("UVR + ",(RIGHT(I47,6)*1-J$1)*100,"%"),I47-J$1))</f>
        <v>0.20269999999999999</v>
      </c>
      <c r="K47" s="42">
        <f t="shared" si="6"/>
        <v>0.5</v>
      </c>
    </row>
    <row r="48" spans="1:12" x14ac:dyDescent="0.35">
      <c r="A48" s="38" t="str">
        <f t="shared" si="4"/>
        <v>Libre InversiónPENSIONADO&lt;300</v>
      </c>
      <c r="B48" s="39" t="s">
        <v>334</v>
      </c>
      <c r="C48" t="s">
        <v>330</v>
      </c>
      <c r="D48" t="s">
        <v>303</v>
      </c>
      <c r="E48" s="36" t="s">
        <v>337</v>
      </c>
      <c r="F48" s="36" t="s">
        <v>323</v>
      </c>
      <c r="G48" s="36" t="s">
        <v>324</v>
      </c>
      <c r="H48" s="40">
        <f>+PROPUESTA!$C$42</f>
        <v>0.2117</v>
      </c>
      <c r="I48" s="40">
        <f t="shared" si="5"/>
        <v>0.19669999999999999</v>
      </c>
      <c r="J48" s="40">
        <f>+IF(I48="ERROR","ERROR",IF(LEFT(I48,1)="U",CONCATENATE("UVR + ",(RIGHT(I48,6)*1-J$1)*100,"%"),I48-J$1))</f>
        <v>0.19169999999999998</v>
      </c>
      <c r="K48" s="42">
        <f t="shared" si="6"/>
        <v>0.5</v>
      </c>
    </row>
    <row r="49" spans="1:12" x14ac:dyDescent="0.35">
      <c r="A49" s="38" t="str">
        <f t="shared" si="4"/>
        <v>Vivienda NO VISPENSIONADO&lt;300</v>
      </c>
      <c r="B49" s="39" t="s">
        <v>334</v>
      </c>
      <c r="C49" t="s">
        <v>331</v>
      </c>
      <c r="D49" t="s">
        <v>402</v>
      </c>
      <c r="E49" s="36" t="s">
        <v>337</v>
      </c>
      <c r="F49" s="36" t="s">
        <v>323</v>
      </c>
      <c r="G49" s="36" t="s">
        <v>324</v>
      </c>
      <c r="H49" s="40">
        <f>+PROPUESTA!$C$80</f>
        <v>0.15590000000000001</v>
      </c>
      <c r="I49" s="40">
        <f t="shared" si="5"/>
        <v>0.14090000000000003</v>
      </c>
      <c r="J49" s="41">
        <v>0.1099</v>
      </c>
      <c r="K49" s="42">
        <f t="shared" si="6"/>
        <v>0.5</v>
      </c>
    </row>
    <row r="50" spans="1:12" x14ac:dyDescent="0.35">
      <c r="A50" s="38" t="str">
        <f t="shared" si="4"/>
        <v>NOPENSIONADO&lt;300</v>
      </c>
      <c r="B50" s="39" t="s">
        <v>334</v>
      </c>
      <c r="C50" t="s">
        <v>332</v>
      </c>
      <c r="D50" t="s">
        <v>413</v>
      </c>
      <c r="E50" s="36" t="s">
        <v>337</v>
      </c>
      <c r="F50" s="36" t="s">
        <v>323</v>
      </c>
      <c r="G50" s="36" t="s">
        <v>324</v>
      </c>
      <c r="H50" s="40">
        <f>+PROPUESTA!$C$60</f>
        <v>0.16889999999999999</v>
      </c>
      <c r="I50" s="40">
        <f t="shared" si="5"/>
        <v>0.15389999999999998</v>
      </c>
      <c r="J50" s="40">
        <f>+IF(I50="ERROR","ERROR",IF(LEFT(I50,1)="U",CONCATENATE("UVR + ",(RIGHT(I50,6)*1-J$1)*100,"%"),I50-J$1))</f>
        <v>0.14889999999999998</v>
      </c>
      <c r="K50" s="42">
        <f t="shared" si="6"/>
        <v>0.5</v>
      </c>
    </row>
    <row r="51" spans="1:12" x14ac:dyDescent="0.35">
      <c r="A51" s="38" t="str">
        <f t="shared" si="4"/>
        <v>Vivienda NO VISPENSIONADO&gt;=300</v>
      </c>
      <c r="B51" s="39" t="s">
        <v>334</v>
      </c>
      <c r="C51" t="s">
        <v>321</v>
      </c>
      <c r="D51" t="s">
        <v>402</v>
      </c>
      <c r="E51" s="36" t="s">
        <v>337</v>
      </c>
      <c r="F51" s="36" t="s">
        <v>323</v>
      </c>
      <c r="G51" s="36" t="s">
        <v>333</v>
      </c>
      <c r="H51" s="40">
        <f>+PROPUESTA!$C$35</f>
        <v>0.15590000000000001</v>
      </c>
      <c r="I51" s="40">
        <f t="shared" si="5"/>
        <v>0.14090000000000003</v>
      </c>
      <c r="J51" s="41">
        <v>0.1149</v>
      </c>
      <c r="K51" s="42">
        <f t="shared" si="6"/>
        <v>0.5</v>
      </c>
      <c r="L51" s="40"/>
    </row>
    <row r="52" spans="1:12" x14ac:dyDescent="0.35">
      <c r="A52" s="38" t="str">
        <f t="shared" si="4"/>
        <v>Vivienda NO VISPENSIONADO&gt;=300</v>
      </c>
      <c r="B52" s="39" t="s">
        <v>334</v>
      </c>
      <c r="C52" t="s">
        <v>325</v>
      </c>
      <c r="D52" t="s">
        <v>402</v>
      </c>
      <c r="E52" s="36" t="s">
        <v>337</v>
      </c>
      <c r="F52" s="36" t="s">
        <v>323</v>
      </c>
      <c r="G52" s="36" t="s">
        <v>333</v>
      </c>
      <c r="H52" s="40">
        <f>+PROPUESTA!$C$35</f>
        <v>0.15590000000000001</v>
      </c>
      <c r="I52" s="40">
        <f t="shared" si="5"/>
        <v>0.14090000000000003</v>
      </c>
      <c r="J52" s="41">
        <v>0.1149</v>
      </c>
      <c r="K52" s="42">
        <f t="shared" si="6"/>
        <v>0.5</v>
      </c>
    </row>
    <row r="53" spans="1:12" x14ac:dyDescent="0.35">
      <c r="A53" s="38" t="str">
        <f t="shared" si="4"/>
        <v>Vivienda NO VISPENSIONADO&gt;=300</v>
      </c>
      <c r="B53" s="39" t="s">
        <v>334</v>
      </c>
      <c r="C53" t="s">
        <v>326</v>
      </c>
      <c r="D53" t="s">
        <v>402</v>
      </c>
      <c r="E53" s="36" t="s">
        <v>337</v>
      </c>
      <c r="F53" s="36" t="s">
        <v>323</v>
      </c>
      <c r="G53" s="36" t="s">
        <v>333</v>
      </c>
      <c r="H53" s="40">
        <f>+PROPUESTA!$C$35</f>
        <v>0.15590000000000001</v>
      </c>
      <c r="I53" s="40">
        <f t="shared" si="5"/>
        <v>0.14090000000000003</v>
      </c>
      <c r="J53" s="41">
        <v>0.1149</v>
      </c>
      <c r="K53" s="42">
        <f t="shared" si="6"/>
        <v>0.5</v>
      </c>
    </row>
    <row r="54" spans="1:12" x14ac:dyDescent="0.35">
      <c r="A54" s="38" t="str">
        <f t="shared" si="4"/>
        <v>Vivienda NO VISPENSIONADO&gt;=300</v>
      </c>
      <c r="B54" s="39" t="s">
        <v>334</v>
      </c>
      <c r="C54" t="s">
        <v>327</v>
      </c>
      <c r="D54" t="s">
        <v>402</v>
      </c>
      <c r="E54" s="36" t="s">
        <v>337</v>
      </c>
      <c r="F54" s="36" t="s">
        <v>323</v>
      </c>
      <c r="G54" s="36" t="s">
        <v>333</v>
      </c>
      <c r="H54" s="40">
        <f>+PROPUESTA!$C$73</f>
        <v>0.15590000000000001</v>
      </c>
      <c r="I54" s="40">
        <f t="shared" si="5"/>
        <v>0.14090000000000003</v>
      </c>
      <c r="J54" s="41">
        <v>0.1099</v>
      </c>
      <c r="K54" s="42">
        <f t="shared" si="6"/>
        <v>0.5</v>
      </c>
    </row>
    <row r="55" spans="1:12" x14ac:dyDescent="0.35">
      <c r="A55" s="38" t="str">
        <f t="shared" si="4"/>
        <v>ComercialPENSIONADO&gt;=300</v>
      </c>
      <c r="B55" s="39" t="s">
        <v>334</v>
      </c>
      <c r="C55" t="s">
        <v>329</v>
      </c>
      <c r="D55" t="s">
        <v>306</v>
      </c>
      <c r="E55" s="36" t="s">
        <v>337</v>
      </c>
      <c r="F55" s="36" t="s">
        <v>323</v>
      </c>
      <c r="G55" s="36" t="s">
        <v>333</v>
      </c>
      <c r="H55" s="40">
        <f>+PROPUESTA!$C$55</f>
        <v>0.21970000000000001</v>
      </c>
      <c r="I55" s="40">
        <f t="shared" si="5"/>
        <v>0.20469999999999999</v>
      </c>
      <c r="J55" s="40">
        <f>+IF(I55="ERROR","ERROR",IF(LEFT(I55,1)="U",CONCATENATE("UVR + ",(RIGHT(I55,6)*1-J$1)*100,"%"),I55-J$1))</f>
        <v>0.19969999999999999</v>
      </c>
      <c r="K55" s="42">
        <f t="shared" si="6"/>
        <v>0.5</v>
      </c>
    </row>
    <row r="56" spans="1:12" x14ac:dyDescent="0.35">
      <c r="A56" s="38" t="str">
        <f t="shared" si="4"/>
        <v>Libre InversiónPENSIONADO&gt;=300</v>
      </c>
      <c r="B56" s="39" t="s">
        <v>334</v>
      </c>
      <c r="C56" t="s">
        <v>330</v>
      </c>
      <c r="D56" t="s">
        <v>303</v>
      </c>
      <c r="E56" s="36" t="s">
        <v>337</v>
      </c>
      <c r="F56" s="36" t="s">
        <v>323</v>
      </c>
      <c r="G56" s="36" t="s">
        <v>333</v>
      </c>
      <c r="H56" s="40">
        <f>+PROPUESTA!$C$45</f>
        <v>0.20169999999999999</v>
      </c>
      <c r="I56" s="40">
        <f t="shared" si="5"/>
        <v>0.18669999999999998</v>
      </c>
      <c r="J56" s="40">
        <f>+IF(I56="ERROR","ERROR",IF(LEFT(I56,1)="U",CONCATENATE("UVR + ",(RIGHT(I56,6)*1-J$1)*100,"%"),I56-J$1))</f>
        <v>0.18169999999999997</v>
      </c>
      <c r="K56" s="42">
        <f t="shared" si="6"/>
        <v>0.5</v>
      </c>
    </row>
    <row r="57" spans="1:12" x14ac:dyDescent="0.35">
      <c r="A57" s="38" t="str">
        <f t="shared" si="4"/>
        <v>Vivienda NO VISPENSIONADO&gt;=300</v>
      </c>
      <c r="B57" s="39" t="s">
        <v>334</v>
      </c>
      <c r="C57" t="s">
        <v>331</v>
      </c>
      <c r="D57" t="s">
        <v>402</v>
      </c>
      <c r="E57" s="36" t="s">
        <v>337</v>
      </c>
      <c r="F57" s="36" t="s">
        <v>323</v>
      </c>
      <c r="G57" s="36" t="s">
        <v>333</v>
      </c>
      <c r="H57" s="40">
        <f>+PROPUESTA!$C$80</f>
        <v>0.15590000000000001</v>
      </c>
      <c r="I57" s="40">
        <f t="shared" si="5"/>
        <v>0.14090000000000003</v>
      </c>
      <c r="J57" s="41">
        <v>0.1099</v>
      </c>
      <c r="K57" s="42">
        <f t="shared" si="6"/>
        <v>0.5</v>
      </c>
    </row>
    <row r="58" spans="1:12" x14ac:dyDescent="0.35">
      <c r="A58" s="38" t="str">
        <f t="shared" si="4"/>
        <v>NOPENSIONADO&gt;=300</v>
      </c>
      <c r="B58" s="39" t="s">
        <v>334</v>
      </c>
      <c r="C58" t="s">
        <v>332</v>
      </c>
      <c r="D58" t="s">
        <v>413</v>
      </c>
      <c r="E58" s="36" t="s">
        <v>337</v>
      </c>
      <c r="F58" s="36" t="s">
        <v>323</v>
      </c>
      <c r="G58" s="36" t="s">
        <v>333</v>
      </c>
      <c r="H58" s="40">
        <f>+PROPUESTA!$C$63</f>
        <v>0.16689999999999999</v>
      </c>
      <c r="I58" s="40">
        <f t="shared" si="5"/>
        <v>0.15189999999999998</v>
      </c>
      <c r="J58" s="40">
        <f>+IF(I58="ERROR","ERROR",IF(LEFT(I58,1)="U",CONCATENATE("UVR + ",(RIGHT(I58,6)*1-J$1)*100,"%"),I58-J$1))</f>
        <v>0.14689999999999998</v>
      </c>
      <c r="K58" s="42">
        <f t="shared" si="6"/>
        <v>0.5</v>
      </c>
    </row>
    <row r="59" spans="1:12" x14ac:dyDescent="0.35">
      <c r="A59" s="38" t="str">
        <f t="shared" si="4"/>
        <v>Vivienda NO VISINDEPENDIENTE&lt;300</v>
      </c>
      <c r="B59" s="39" t="s">
        <v>335</v>
      </c>
      <c r="C59" t="s">
        <v>321</v>
      </c>
      <c r="D59" t="s">
        <v>402</v>
      </c>
      <c r="E59" s="36" t="s">
        <v>337</v>
      </c>
      <c r="F59" s="36" t="s">
        <v>323</v>
      </c>
      <c r="G59" s="36" t="s">
        <v>324</v>
      </c>
      <c r="H59" s="40">
        <f>+PROPUESTA!$C$33</f>
        <v>0.15989999999999999</v>
      </c>
      <c r="I59" s="40">
        <f t="shared" si="5"/>
        <v>0.14489999999999997</v>
      </c>
      <c r="J59" s="41">
        <v>0.1249</v>
      </c>
      <c r="K59" s="42">
        <f t="shared" si="6"/>
        <v>0.5</v>
      </c>
    </row>
    <row r="60" spans="1:12" x14ac:dyDescent="0.35">
      <c r="A60" s="38" t="str">
        <f t="shared" si="4"/>
        <v>Vivienda NO VISINDEPENDIENTE&lt;300</v>
      </c>
      <c r="B60" s="39" t="s">
        <v>335</v>
      </c>
      <c r="C60" t="s">
        <v>325</v>
      </c>
      <c r="D60" t="s">
        <v>402</v>
      </c>
      <c r="E60" s="36" t="s">
        <v>337</v>
      </c>
      <c r="F60" s="36" t="s">
        <v>323</v>
      </c>
      <c r="G60" s="36" t="s">
        <v>324</v>
      </c>
      <c r="H60" s="40">
        <f>+PROPUESTA!$C$33</f>
        <v>0.15989999999999999</v>
      </c>
      <c r="I60" s="40">
        <f t="shared" si="5"/>
        <v>0.14489999999999997</v>
      </c>
      <c r="J60" s="41">
        <v>0.1249</v>
      </c>
      <c r="K60" s="42">
        <f t="shared" si="6"/>
        <v>0.5</v>
      </c>
    </row>
    <row r="61" spans="1:12" x14ac:dyDescent="0.35">
      <c r="A61" s="38" t="str">
        <f t="shared" si="4"/>
        <v>Vivienda NO VISINDEPENDIENTE&lt;300</v>
      </c>
      <c r="B61" s="39" t="s">
        <v>335</v>
      </c>
      <c r="C61" t="s">
        <v>326</v>
      </c>
      <c r="D61" t="s">
        <v>402</v>
      </c>
      <c r="E61" s="36" t="s">
        <v>337</v>
      </c>
      <c r="F61" s="36" t="s">
        <v>323</v>
      </c>
      <c r="G61" s="36" t="s">
        <v>324</v>
      </c>
      <c r="H61" s="40">
        <f>+PROPUESTA!$C$33</f>
        <v>0.15989999999999999</v>
      </c>
      <c r="I61" s="40">
        <f t="shared" si="5"/>
        <v>0.14489999999999997</v>
      </c>
      <c r="J61" s="41">
        <v>0.1249</v>
      </c>
      <c r="K61" s="42">
        <f t="shared" si="6"/>
        <v>0.5</v>
      </c>
    </row>
    <row r="62" spans="1:12" x14ac:dyDescent="0.35">
      <c r="A62" s="38" t="str">
        <f t="shared" si="4"/>
        <v>Vivienda NO VISINDEPENDIENTE&lt;300</v>
      </c>
      <c r="B62" s="39" t="s">
        <v>335</v>
      </c>
      <c r="C62" t="s">
        <v>327</v>
      </c>
      <c r="D62" t="s">
        <v>402</v>
      </c>
      <c r="E62" s="36" t="s">
        <v>337</v>
      </c>
      <c r="F62" s="36" t="s">
        <v>323</v>
      </c>
      <c r="G62" s="36" t="s">
        <v>324</v>
      </c>
      <c r="H62" s="40">
        <f>+PROPUESTA!$C$73</f>
        <v>0.15590000000000001</v>
      </c>
      <c r="I62" s="40">
        <f t="shared" si="5"/>
        <v>0.14090000000000003</v>
      </c>
      <c r="J62" s="41">
        <v>0.1099</v>
      </c>
      <c r="K62" s="42">
        <f t="shared" si="6"/>
        <v>0.5</v>
      </c>
    </row>
    <row r="63" spans="1:12" x14ac:dyDescent="0.35">
      <c r="A63" s="38" t="str">
        <f t="shared" si="4"/>
        <v>ComercialINDEPENDIENTE&lt;300</v>
      </c>
      <c r="B63" s="39" t="s">
        <v>335</v>
      </c>
      <c r="C63" t="s">
        <v>329</v>
      </c>
      <c r="D63" t="s">
        <v>306</v>
      </c>
      <c r="E63" s="36" t="s">
        <v>337</v>
      </c>
      <c r="F63" s="36" t="s">
        <v>323</v>
      </c>
      <c r="G63" s="36" t="s">
        <v>324</v>
      </c>
      <c r="H63" s="40">
        <f>+PROPUESTA!$C$53</f>
        <v>0.22270000000000001</v>
      </c>
      <c r="I63" s="40">
        <f t="shared" si="5"/>
        <v>0.2077</v>
      </c>
      <c r="J63" s="40">
        <f>+IF(I63="ERROR","ERROR",IF(LEFT(I63,1)="U",CONCATENATE("UVR + ",(RIGHT(I63,6)*1-J$1)*100,"%"),I63-J$1))</f>
        <v>0.20269999999999999</v>
      </c>
      <c r="K63" s="42">
        <f t="shared" si="6"/>
        <v>0.5</v>
      </c>
    </row>
    <row r="64" spans="1:12" x14ac:dyDescent="0.35">
      <c r="A64" s="38" t="str">
        <f t="shared" si="4"/>
        <v>Libre InversiónINDEPENDIENTE&lt;300</v>
      </c>
      <c r="B64" s="39" t="s">
        <v>335</v>
      </c>
      <c r="C64" t="s">
        <v>330</v>
      </c>
      <c r="D64" t="s">
        <v>303</v>
      </c>
      <c r="E64" s="36" t="s">
        <v>337</v>
      </c>
      <c r="F64" s="36" t="s">
        <v>323</v>
      </c>
      <c r="G64" s="36" t="s">
        <v>324</v>
      </c>
      <c r="H64" s="40">
        <f>+PROPUESTA!$C$43</f>
        <v>0.2157</v>
      </c>
      <c r="I64" s="40">
        <f t="shared" si="5"/>
        <v>0.20069999999999999</v>
      </c>
      <c r="J64" s="40">
        <f>+IF(I64="ERROR","ERROR",IF(LEFT(I64,1)="U",CONCATENATE("UVR + ",(RIGHT(I64,6)*1-J$1)*100,"%"),I64-J$1))</f>
        <v>0.19569999999999999</v>
      </c>
      <c r="K64" s="42">
        <f t="shared" si="6"/>
        <v>0.5</v>
      </c>
    </row>
    <row r="65" spans="1:11" x14ac:dyDescent="0.35">
      <c r="A65" s="38" t="str">
        <f t="shared" si="4"/>
        <v>Vivienda NO VISINDEPENDIENTE&lt;300</v>
      </c>
      <c r="B65" s="39" t="s">
        <v>335</v>
      </c>
      <c r="C65" t="s">
        <v>331</v>
      </c>
      <c r="D65" t="s">
        <v>402</v>
      </c>
      <c r="E65" s="36" t="s">
        <v>337</v>
      </c>
      <c r="F65" s="36" t="s">
        <v>323</v>
      </c>
      <c r="G65" s="36" t="s">
        <v>324</v>
      </c>
      <c r="H65" s="40">
        <f>+PROPUESTA!$C$80</f>
        <v>0.15590000000000001</v>
      </c>
      <c r="I65" s="40">
        <f t="shared" si="5"/>
        <v>0.14090000000000003</v>
      </c>
      <c r="J65" s="41">
        <v>0.1099</v>
      </c>
      <c r="K65" s="42">
        <f t="shared" si="6"/>
        <v>0.5</v>
      </c>
    </row>
    <row r="66" spans="1:11" x14ac:dyDescent="0.35">
      <c r="A66" s="38" t="str">
        <f t="shared" si="4"/>
        <v>NOINDEPENDIENTE&lt;300</v>
      </c>
      <c r="B66" s="39" t="s">
        <v>335</v>
      </c>
      <c r="C66" t="s">
        <v>332</v>
      </c>
      <c r="D66" t="s">
        <v>413</v>
      </c>
      <c r="E66" s="36" t="s">
        <v>337</v>
      </c>
      <c r="F66" s="36" t="s">
        <v>323</v>
      </c>
      <c r="G66" s="36" t="s">
        <v>324</v>
      </c>
      <c r="H66" s="40">
        <f>+PROPUESTA!$C$61</f>
        <v>0.1719</v>
      </c>
      <c r="I66" s="40">
        <f t="shared" si="5"/>
        <v>0.15689999999999998</v>
      </c>
      <c r="J66" s="40">
        <f>+IF(I66="ERROR","ERROR",IF(LEFT(I66,1)="U",CONCATENATE("UVR + ",(RIGHT(I66,6)*1-J$1)*100,"%"),I66-J$1))</f>
        <v>0.15189999999999998</v>
      </c>
      <c r="K66" s="42">
        <f t="shared" si="6"/>
        <v>0.5</v>
      </c>
    </row>
    <row r="67" spans="1:11" x14ac:dyDescent="0.35">
      <c r="A67" s="38" t="str">
        <f t="shared" ref="A67:A98" si="7">D67&amp;B67&amp;G67</f>
        <v>Vivienda NO VISINDEPENDIENTE&gt;=300</v>
      </c>
      <c r="B67" s="39" t="s">
        <v>335</v>
      </c>
      <c r="C67" t="s">
        <v>321</v>
      </c>
      <c r="D67" t="s">
        <v>402</v>
      </c>
      <c r="E67" s="36" t="s">
        <v>337</v>
      </c>
      <c r="F67" s="36" t="s">
        <v>323</v>
      </c>
      <c r="G67" s="36" t="s">
        <v>333</v>
      </c>
      <c r="H67" s="40">
        <f>+PROPUESTA!$C$36</f>
        <v>0.15989999999999999</v>
      </c>
      <c r="I67" s="40">
        <f t="shared" ref="I67:I98" si="8">+IF(H67="ERROR","ERROR",IF(LEFT(H67,1)="U",CONCATENATE("UVR + ",(RIGHT(H67,6)*1-I$1)*100,"%"),H67-I$1))</f>
        <v>0.14489999999999997</v>
      </c>
      <c r="J67" s="41">
        <v>0.1249</v>
      </c>
      <c r="K67" s="42">
        <f t="shared" ref="K67:K98" si="9">+IF(J67="ERROR","ERROR",IF(E67="NO VIS",50%,100%))</f>
        <v>0.5</v>
      </c>
    </row>
    <row r="68" spans="1:11" x14ac:dyDescent="0.35">
      <c r="A68" s="38" t="str">
        <f t="shared" si="7"/>
        <v>Vivienda NO VISINDEPENDIENTE&gt;=300</v>
      </c>
      <c r="B68" s="39" t="s">
        <v>335</v>
      </c>
      <c r="C68" t="s">
        <v>325</v>
      </c>
      <c r="D68" t="s">
        <v>402</v>
      </c>
      <c r="E68" s="36" t="s">
        <v>337</v>
      </c>
      <c r="F68" s="36" t="s">
        <v>323</v>
      </c>
      <c r="G68" s="36" t="s">
        <v>333</v>
      </c>
      <c r="H68" s="40">
        <f>+PROPUESTA!$C$36</f>
        <v>0.15989999999999999</v>
      </c>
      <c r="I68" s="40">
        <f t="shared" si="8"/>
        <v>0.14489999999999997</v>
      </c>
      <c r="J68" s="41">
        <v>0.1249</v>
      </c>
      <c r="K68" s="42">
        <f t="shared" si="9"/>
        <v>0.5</v>
      </c>
    </row>
    <row r="69" spans="1:11" x14ac:dyDescent="0.35">
      <c r="A69" s="38" t="str">
        <f t="shared" si="7"/>
        <v>Vivienda NO VISINDEPENDIENTE&gt;=300</v>
      </c>
      <c r="B69" s="39" t="s">
        <v>335</v>
      </c>
      <c r="C69" t="s">
        <v>326</v>
      </c>
      <c r="D69" t="s">
        <v>402</v>
      </c>
      <c r="E69" s="36" t="s">
        <v>337</v>
      </c>
      <c r="F69" s="36" t="s">
        <v>323</v>
      </c>
      <c r="G69" s="36" t="s">
        <v>333</v>
      </c>
      <c r="H69" s="40">
        <f>+PROPUESTA!$C$36</f>
        <v>0.15989999999999999</v>
      </c>
      <c r="I69" s="40">
        <f t="shared" si="8"/>
        <v>0.14489999999999997</v>
      </c>
      <c r="J69" s="41">
        <v>0.1249</v>
      </c>
      <c r="K69" s="42">
        <f t="shared" si="9"/>
        <v>0.5</v>
      </c>
    </row>
    <row r="70" spans="1:11" x14ac:dyDescent="0.35">
      <c r="A70" s="38" t="str">
        <f t="shared" si="7"/>
        <v>Vivienda NO VISINDEPENDIENTE&gt;=300</v>
      </c>
      <c r="B70" s="39" t="s">
        <v>335</v>
      </c>
      <c r="C70" t="s">
        <v>327</v>
      </c>
      <c r="D70" t="s">
        <v>402</v>
      </c>
      <c r="E70" s="36" t="s">
        <v>337</v>
      </c>
      <c r="F70" s="36" t="s">
        <v>323</v>
      </c>
      <c r="G70" s="36" t="s">
        <v>333</v>
      </c>
      <c r="H70" s="40">
        <f>+PROPUESTA!$C$73</f>
        <v>0.15590000000000001</v>
      </c>
      <c r="I70" s="40">
        <f t="shared" si="8"/>
        <v>0.14090000000000003</v>
      </c>
      <c r="J70" s="41">
        <v>0.1099</v>
      </c>
      <c r="K70" s="42">
        <f t="shared" si="9"/>
        <v>0.5</v>
      </c>
    </row>
    <row r="71" spans="1:11" x14ac:dyDescent="0.35">
      <c r="A71" s="38" t="str">
        <f t="shared" si="7"/>
        <v>ComercialINDEPENDIENTE&gt;=300</v>
      </c>
      <c r="B71" s="39" t="s">
        <v>335</v>
      </c>
      <c r="C71" t="s">
        <v>329</v>
      </c>
      <c r="D71" t="s">
        <v>306</v>
      </c>
      <c r="E71" s="36" t="s">
        <v>337</v>
      </c>
      <c r="F71" s="36" t="s">
        <v>323</v>
      </c>
      <c r="G71" s="36" t="s">
        <v>333</v>
      </c>
      <c r="H71" s="40">
        <f>+PROPUESTA!$C$55</f>
        <v>0.21970000000000001</v>
      </c>
      <c r="I71" s="40">
        <f t="shared" si="8"/>
        <v>0.20469999999999999</v>
      </c>
      <c r="J71" s="40">
        <f>+IF(I71="ERROR","ERROR",IF(LEFT(I71,1)="U",CONCATENATE("UVR + ",(RIGHT(I71,6)*1-J$1)*100,"%"),I71-J$1))</f>
        <v>0.19969999999999999</v>
      </c>
      <c r="K71" s="42">
        <f t="shared" si="9"/>
        <v>0.5</v>
      </c>
    </row>
    <row r="72" spans="1:11" x14ac:dyDescent="0.35">
      <c r="A72" s="38" t="str">
        <f t="shared" si="7"/>
        <v>Libre InversiónINDEPENDIENTE&gt;=300</v>
      </c>
      <c r="B72" s="39" t="s">
        <v>335</v>
      </c>
      <c r="C72" t="s">
        <v>330</v>
      </c>
      <c r="D72" t="s">
        <v>303</v>
      </c>
      <c r="E72" s="36" t="s">
        <v>337</v>
      </c>
      <c r="F72" s="36" t="s">
        <v>323</v>
      </c>
      <c r="G72" s="36" t="s">
        <v>333</v>
      </c>
      <c r="H72" s="40">
        <f>+PROPUESTA!C46</f>
        <v>0.20569999999999999</v>
      </c>
      <c r="I72" s="40">
        <f t="shared" si="8"/>
        <v>0.19069999999999998</v>
      </c>
      <c r="J72" s="40">
        <f>+IF(I72="ERROR","ERROR",IF(LEFT(I72,1)="U",CONCATENATE("UVR + ",(RIGHT(I72,6)*1-J$1)*100,"%"),I72-J$1))</f>
        <v>0.18569999999999998</v>
      </c>
      <c r="K72" s="42">
        <f t="shared" si="9"/>
        <v>0.5</v>
      </c>
    </row>
    <row r="73" spans="1:11" x14ac:dyDescent="0.35">
      <c r="A73" s="38" t="str">
        <f t="shared" si="7"/>
        <v>Vivienda NO VISINDEPENDIENTE&gt;=300</v>
      </c>
      <c r="B73" s="39" t="s">
        <v>335</v>
      </c>
      <c r="C73" t="s">
        <v>331</v>
      </c>
      <c r="D73" t="s">
        <v>402</v>
      </c>
      <c r="E73" s="36" t="s">
        <v>337</v>
      </c>
      <c r="F73" s="36" t="s">
        <v>323</v>
      </c>
      <c r="G73" s="36" t="s">
        <v>333</v>
      </c>
      <c r="H73" s="40">
        <f>+PROPUESTA!$C$80</f>
        <v>0.15590000000000001</v>
      </c>
      <c r="I73" s="40">
        <f t="shared" si="8"/>
        <v>0.14090000000000003</v>
      </c>
      <c r="J73" s="41">
        <v>0.1099</v>
      </c>
      <c r="K73" s="42">
        <f t="shared" si="9"/>
        <v>0.5</v>
      </c>
    </row>
    <row r="74" spans="1:11" x14ac:dyDescent="0.35">
      <c r="A74" s="38" t="str">
        <f t="shared" si="7"/>
        <v>NOINDEPENDIENTE&gt;=300</v>
      </c>
      <c r="B74" s="39" t="s">
        <v>335</v>
      </c>
      <c r="C74" t="s">
        <v>332</v>
      </c>
      <c r="D74" t="s">
        <v>413</v>
      </c>
      <c r="E74" s="36" t="s">
        <v>337</v>
      </c>
      <c r="F74" s="36" t="s">
        <v>323</v>
      </c>
      <c r="G74" s="36" t="s">
        <v>333</v>
      </c>
      <c r="H74" s="40">
        <f>+PROPUESTA!$C$64</f>
        <v>0.1699</v>
      </c>
      <c r="I74" s="40">
        <f t="shared" si="8"/>
        <v>0.15489999999999998</v>
      </c>
      <c r="J74" s="40">
        <f t="shared" ref="J74:J105" si="10">+IF(I74="ERROR","ERROR",IF(LEFT(I74,1)="U",CONCATENATE("UVR + ",(RIGHT(I74,6)*1-J$1)*100,"%"),I74-J$1))</f>
        <v>0.14989999999999998</v>
      </c>
      <c r="K74" s="42">
        <f t="shared" si="9"/>
        <v>0.5</v>
      </c>
    </row>
    <row r="75" spans="1:11" x14ac:dyDescent="0.35">
      <c r="A75" s="38" t="str">
        <f t="shared" si="7"/>
        <v>Vivienda NO VISASALARIADO&lt;300</v>
      </c>
      <c r="B75" s="39" t="s">
        <v>320</v>
      </c>
      <c r="C75" t="s">
        <v>321</v>
      </c>
      <c r="D75" t="s">
        <v>402</v>
      </c>
      <c r="E75" s="36" t="s">
        <v>337</v>
      </c>
      <c r="F75" s="36" t="s">
        <v>336</v>
      </c>
      <c r="G75" s="36" t="s">
        <v>324</v>
      </c>
      <c r="H75" s="40" t="str">
        <f>+PROPUESTA!$B$14</f>
        <v>UVR + 11.94%</v>
      </c>
      <c r="I75" s="40" t="e">
        <f t="shared" si="8"/>
        <v>#VALUE!</v>
      </c>
      <c r="J75" s="40" t="e">
        <f t="shared" si="10"/>
        <v>#VALUE!</v>
      </c>
      <c r="K75" s="42" t="e">
        <f t="shared" si="9"/>
        <v>#VALUE!</v>
      </c>
    </row>
    <row r="76" spans="1:11" x14ac:dyDescent="0.35">
      <c r="A76" s="38" t="str">
        <f t="shared" si="7"/>
        <v>Vivienda NO VISASALARIADO&lt;300</v>
      </c>
      <c r="B76" s="39" t="s">
        <v>320</v>
      </c>
      <c r="C76" t="s">
        <v>325</v>
      </c>
      <c r="D76" t="s">
        <v>402</v>
      </c>
      <c r="E76" s="36" t="s">
        <v>337</v>
      </c>
      <c r="F76" s="36" t="s">
        <v>336</v>
      </c>
      <c r="G76" s="36" t="s">
        <v>324</v>
      </c>
      <c r="H76" s="40" t="str">
        <f>+PROPUESTA!$B$14</f>
        <v>UVR + 11.94%</v>
      </c>
      <c r="I76" s="40" t="e">
        <f t="shared" si="8"/>
        <v>#VALUE!</v>
      </c>
      <c r="J76" s="40" t="e">
        <f t="shared" si="10"/>
        <v>#VALUE!</v>
      </c>
      <c r="K76" s="42" t="e">
        <f t="shared" si="9"/>
        <v>#VALUE!</v>
      </c>
    </row>
    <row r="77" spans="1:11" x14ac:dyDescent="0.35">
      <c r="A77" s="38" t="str">
        <f t="shared" si="7"/>
        <v>Vivienda NO VISASALARIADO&lt;300</v>
      </c>
      <c r="B77" s="39" t="s">
        <v>320</v>
      </c>
      <c r="C77" t="s">
        <v>326</v>
      </c>
      <c r="D77" t="s">
        <v>402</v>
      </c>
      <c r="E77" s="36" t="s">
        <v>337</v>
      </c>
      <c r="F77" s="36" t="s">
        <v>336</v>
      </c>
      <c r="G77" s="36" t="s">
        <v>324</v>
      </c>
      <c r="H77" s="40" t="str">
        <f>+PROPUESTA!$B$14</f>
        <v>UVR + 11.94%</v>
      </c>
      <c r="I77" s="40" t="e">
        <f t="shared" si="8"/>
        <v>#VALUE!</v>
      </c>
      <c r="J77" s="40" t="e">
        <f t="shared" si="10"/>
        <v>#VALUE!</v>
      </c>
      <c r="K77" s="42" t="e">
        <f t="shared" si="9"/>
        <v>#VALUE!</v>
      </c>
    </row>
    <row r="78" spans="1:11" x14ac:dyDescent="0.35">
      <c r="A78" s="38" t="str">
        <f t="shared" si="7"/>
        <v>Vivienda NO VISASALARIADO&lt;300</v>
      </c>
      <c r="B78" s="39" t="s">
        <v>320</v>
      </c>
      <c r="C78" t="s">
        <v>327</v>
      </c>
      <c r="D78" t="s">
        <v>402</v>
      </c>
      <c r="E78" s="36" t="s">
        <v>337</v>
      </c>
      <c r="F78" s="36" t="s">
        <v>336</v>
      </c>
      <c r="G78" s="36" t="s">
        <v>324</v>
      </c>
      <c r="H78" s="40" t="str">
        <f>+PROPUESTA!$B$72</f>
        <v>UVR + 11.94%</v>
      </c>
      <c r="I78" s="40" t="e">
        <f t="shared" si="8"/>
        <v>#VALUE!</v>
      </c>
      <c r="J78" s="40" t="e">
        <f t="shared" si="10"/>
        <v>#VALUE!</v>
      </c>
      <c r="K78" s="42" t="e">
        <f t="shared" si="9"/>
        <v>#VALUE!</v>
      </c>
    </row>
    <row r="79" spans="1:11" x14ac:dyDescent="0.35">
      <c r="A79" s="38" t="str">
        <f t="shared" si="7"/>
        <v>ComercialASALARIADO&lt;300</v>
      </c>
      <c r="B79" s="39" t="s">
        <v>320</v>
      </c>
      <c r="C79" t="s">
        <v>329</v>
      </c>
      <c r="D79" t="s">
        <v>306</v>
      </c>
      <c r="E79" s="36" t="s">
        <v>337</v>
      </c>
      <c r="F79" s="36" t="s">
        <v>336</v>
      </c>
      <c r="G79" s="36" t="s">
        <v>324</v>
      </c>
      <c r="H79" s="40" t="str">
        <f>+PROPUESTA!$B$49</f>
        <v>UVR + 10.10%</v>
      </c>
      <c r="I79" s="40" t="e">
        <f t="shared" si="8"/>
        <v>#VALUE!</v>
      </c>
      <c r="J79" s="40" t="e">
        <f t="shared" si="10"/>
        <v>#VALUE!</v>
      </c>
      <c r="K79" s="42" t="e">
        <f t="shared" si="9"/>
        <v>#VALUE!</v>
      </c>
    </row>
    <row r="80" spans="1:11" x14ac:dyDescent="0.35">
      <c r="A80" s="38" t="str">
        <f t="shared" si="7"/>
        <v>Vivienda NO VISASALARIADO&lt;300</v>
      </c>
      <c r="B80" s="39" t="s">
        <v>320</v>
      </c>
      <c r="C80" t="s">
        <v>331</v>
      </c>
      <c r="D80" t="s">
        <v>402</v>
      </c>
      <c r="E80" s="36" t="s">
        <v>337</v>
      </c>
      <c r="F80" s="36" t="s">
        <v>336</v>
      </c>
      <c r="G80" s="36" t="s">
        <v>324</v>
      </c>
      <c r="H80" s="40" t="str">
        <f>+PROPUESTA!$B$79</f>
        <v>UVR + 11.94%</v>
      </c>
      <c r="I80" s="40" t="e">
        <f t="shared" si="8"/>
        <v>#VALUE!</v>
      </c>
      <c r="J80" s="40" t="e">
        <f t="shared" si="10"/>
        <v>#VALUE!</v>
      </c>
      <c r="K80" s="42" t="e">
        <f t="shared" si="9"/>
        <v>#VALUE!</v>
      </c>
    </row>
    <row r="81" spans="1:11" x14ac:dyDescent="0.35">
      <c r="A81" s="38" t="str">
        <f t="shared" si="7"/>
        <v>Vivienda NO VISASALARIADO&gt;=300</v>
      </c>
      <c r="B81" s="39" t="s">
        <v>320</v>
      </c>
      <c r="C81" t="s">
        <v>321</v>
      </c>
      <c r="D81" t="s">
        <v>402</v>
      </c>
      <c r="E81" s="36" t="s">
        <v>337</v>
      </c>
      <c r="F81" s="36" t="s">
        <v>336</v>
      </c>
      <c r="G81" s="36" t="s">
        <v>333</v>
      </c>
      <c r="H81" s="40" t="str">
        <f>+PROPUESTA!$B$17</f>
        <v>UVR + 11.94%</v>
      </c>
      <c r="I81" s="40" t="e">
        <f t="shared" si="8"/>
        <v>#VALUE!</v>
      </c>
      <c r="J81" s="40" t="e">
        <f t="shared" si="10"/>
        <v>#VALUE!</v>
      </c>
      <c r="K81" s="42" t="e">
        <f t="shared" si="9"/>
        <v>#VALUE!</v>
      </c>
    </row>
    <row r="82" spans="1:11" x14ac:dyDescent="0.35">
      <c r="A82" s="38" t="str">
        <f t="shared" si="7"/>
        <v>Vivienda NO VISASALARIADO&gt;=300</v>
      </c>
      <c r="B82" s="39" t="s">
        <v>320</v>
      </c>
      <c r="C82" t="s">
        <v>325</v>
      </c>
      <c r="D82" t="s">
        <v>402</v>
      </c>
      <c r="E82" s="36" t="s">
        <v>337</v>
      </c>
      <c r="F82" s="36" t="s">
        <v>336</v>
      </c>
      <c r="G82" s="36" t="s">
        <v>333</v>
      </c>
      <c r="H82" s="40" t="str">
        <f>+PROPUESTA!$B$17</f>
        <v>UVR + 11.94%</v>
      </c>
      <c r="I82" s="40" t="e">
        <f t="shared" si="8"/>
        <v>#VALUE!</v>
      </c>
      <c r="J82" s="40" t="e">
        <f t="shared" si="10"/>
        <v>#VALUE!</v>
      </c>
      <c r="K82" s="42" t="e">
        <f t="shared" si="9"/>
        <v>#VALUE!</v>
      </c>
    </row>
    <row r="83" spans="1:11" x14ac:dyDescent="0.35">
      <c r="A83" s="38" t="str">
        <f t="shared" si="7"/>
        <v>Vivienda NO VISASALARIADO&gt;=300</v>
      </c>
      <c r="B83" s="39" t="s">
        <v>320</v>
      </c>
      <c r="C83" t="s">
        <v>326</v>
      </c>
      <c r="D83" t="s">
        <v>402</v>
      </c>
      <c r="E83" s="36" t="s">
        <v>337</v>
      </c>
      <c r="F83" s="36" t="s">
        <v>336</v>
      </c>
      <c r="G83" s="36" t="s">
        <v>333</v>
      </c>
      <c r="H83" s="40" t="str">
        <f>+PROPUESTA!$B$17</f>
        <v>UVR + 11.94%</v>
      </c>
      <c r="I83" s="40" t="e">
        <f t="shared" si="8"/>
        <v>#VALUE!</v>
      </c>
      <c r="J83" s="40" t="e">
        <f t="shared" si="10"/>
        <v>#VALUE!</v>
      </c>
      <c r="K83" s="42" t="e">
        <f t="shared" si="9"/>
        <v>#VALUE!</v>
      </c>
    </row>
    <row r="84" spans="1:11" x14ac:dyDescent="0.35">
      <c r="A84" s="38" t="str">
        <f t="shared" si="7"/>
        <v>Vivienda NO VISASALARIADO&gt;=300</v>
      </c>
      <c r="B84" s="39" t="s">
        <v>320</v>
      </c>
      <c r="C84" t="s">
        <v>327</v>
      </c>
      <c r="D84" t="s">
        <v>402</v>
      </c>
      <c r="E84" s="36" t="s">
        <v>337</v>
      </c>
      <c r="F84" s="36" t="s">
        <v>336</v>
      </c>
      <c r="G84" s="36" t="s">
        <v>333</v>
      </c>
      <c r="H84" s="40" t="str">
        <f>+PROPUESTA!$B$72</f>
        <v>UVR + 11.94%</v>
      </c>
      <c r="I84" s="40" t="e">
        <f t="shared" si="8"/>
        <v>#VALUE!</v>
      </c>
      <c r="J84" s="40" t="e">
        <f t="shared" si="10"/>
        <v>#VALUE!</v>
      </c>
      <c r="K84" s="42" t="e">
        <f t="shared" si="9"/>
        <v>#VALUE!</v>
      </c>
    </row>
    <row r="85" spans="1:11" x14ac:dyDescent="0.35">
      <c r="A85" s="38" t="str">
        <f t="shared" si="7"/>
        <v>ComercialASALARIADO&gt;=300</v>
      </c>
      <c r="B85" s="39" t="s">
        <v>320</v>
      </c>
      <c r="C85" t="s">
        <v>329</v>
      </c>
      <c r="D85" t="s">
        <v>306</v>
      </c>
      <c r="E85" s="36" t="s">
        <v>337</v>
      </c>
      <c r="F85" s="36" t="s">
        <v>336</v>
      </c>
      <c r="G85" s="36" t="s">
        <v>333</v>
      </c>
      <c r="H85" s="40" t="str">
        <f>+PROPUESTA!$B$51</f>
        <v>UVR + 9.80%</v>
      </c>
      <c r="I85" s="40" t="e">
        <f t="shared" si="8"/>
        <v>#VALUE!</v>
      </c>
      <c r="J85" s="40" t="e">
        <f t="shared" si="10"/>
        <v>#VALUE!</v>
      </c>
      <c r="K85" s="42" t="e">
        <f t="shared" si="9"/>
        <v>#VALUE!</v>
      </c>
    </row>
    <row r="86" spans="1:11" x14ac:dyDescent="0.35">
      <c r="A86" s="38" t="str">
        <f t="shared" si="7"/>
        <v>Vivienda NO VISASALARIADO&gt;=300</v>
      </c>
      <c r="B86" s="39" t="s">
        <v>320</v>
      </c>
      <c r="C86" t="s">
        <v>331</v>
      </c>
      <c r="D86" t="s">
        <v>402</v>
      </c>
      <c r="E86" s="36" t="s">
        <v>337</v>
      </c>
      <c r="F86" s="36" t="s">
        <v>336</v>
      </c>
      <c r="G86" s="36" t="s">
        <v>333</v>
      </c>
      <c r="H86" s="40" t="str">
        <f>+PROPUESTA!$B$79</f>
        <v>UVR + 11.94%</v>
      </c>
      <c r="I86" s="40" t="e">
        <f t="shared" si="8"/>
        <v>#VALUE!</v>
      </c>
      <c r="J86" s="40" t="e">
        <f t="shared" si="10"/>
        <v>#VALUE!</v>
      </c>
      <c r="K86" s="42" t="e">
        <f t="shared" si="9"/>
        <v>#VALUE!</v>
      </c>
    </row>
    <row r="87" spans="1:11" x14ac:dyDescent="0.35">
      <c r="A87" s="38" t="str">
        <f t="shared" si="7"/>
        <v>Vivienda NO VISPENSIONADO&lt;300</v>
      </c>
      <c r="B87" s="39" t="s">
        <v>334</v>
      </c>
      <c r="C87" t="s">
        <v>321</v>
      </c>
      <c r="D87" t="s">
        <v>402</v>
      </c>
      <c r="E87" s="36" t="s">
        <v>337</v>
      </c>
      <c r="F87" s="36" t="s">
        <v>336</v>
      </c>
      <c r="G87" s="36" t="s">
        <v>324</v>
      </c>
      <c r="H87" s="40" t="str">
        <f>+PROPUESTA!$B$14</f>
        <v>UVR + 11.94%</v>
      </c>
      <c r="I87" s="40" t="e">
        <f t="shared" si="8"/>
        <v>#VALUE!</v>
      </c>
      <c r="J87" s="40" t="e">
        <f t="shared" si="10"/>
        <v>#VALUE!</v>
      </c>
      <c r="K87" s="42" t="e">
        <f t="shared" si="9"/>
        <v>#VALUE!</v>
      </c>
    </row>
    <row r="88" spans="1:11" x14ac:dyDescent="0.35">
      <c r="A88" s="38" t="str">
        <f t="shared" si="7"/>
        <v>Vivienda NO VISPENSIONADO&lt;300</v>
      </c>
      <c r="B88" s="39" t="s">
        <v>334</v>
      </c>
      <c r="C88" t="s">
        <v>325</v>
      </c>
      <c r="D88" t="s">
        <v>402</v>
      </c>
      <c r="E88" s="36" t="s">
        <v>337</v>
      </c>
      <c r="F88" s="36" t="s">
        <v>336</v>
      </c>
      <c r="G88" s="36" t="s">
        <v>324</v>
      </c>
      <c r="H88" s="40" t="str">
        <f>+PROPUESTA!$B$14</f>
        <v>UVR + 11.94%</v>
      </c>
      <c r="I88" s="40" t="e">
        <f t="shared" si="8"/>
        <v>#VALUE!</v>
      </c>
      <c r="J88" s="40" t="e">
        <f t="shared" si="10"/>
        <v>#VALUE!</v>
      </c>
      <c r="K88" s="42" t="e">
        <f t="shared" si="9"/>
        <v>#VALUE!</v>
      </c>
    </row>
    <row r="89" spans="1:11" x14ac:dyDescent="0.35">
      <c r="A89" s="38" t="str">
        <f t="shared" si="7"/>
        <v>Vivienda NO VISPENSIONADO&lt;300</v>
      </c>
      <c r="B89" s="39" t="s">
        <v>334</v>
      </c>
      <c r="C89" t="s">
        <v>326</v>
      </c>
      <c r="D89" t="s">
        <v>402</v>
      </c>
      <c r="E89" s="36" t="s">
        <v>337</v>
      </c>
      <c r="F89" s="36" t="s">
        <v>336</v>
      </c>
      <c r="G89" s="36" t="s">
        <v>324</v>
      </c>
      <c r="H89" s="40" t="str">
        <f>+PROPUESTA!$B$14</f>
        <v>UVR + 11.94%</v>
      </c>
      <c r="I89" s="40" t="e">
        <f t="shared" si="8"/>
        <v>#VALUE!</v>
      </c>
      <c r="J89" s="40" t="e">
        <f t="shared" si="10"/>
        <v>#VALUE!</v>
      </c>
      <c r="K89" s="42" t="e">
        <f t="shared" si="9"/>
        <v>#VALUE!</v>
      </c>
    </row>
    <row r="90" spans="1:11" x14ac:dyDescent="0.35">
      <c r="A90" s="38" t="str">
        <f t="shared" si="7"/>
        <v>Vivienda NO VISPENSIONADO&lt;300</v>
      </c>
      <c r="B90" s="39" t="s">
        <v>334</v>
      </c>
      <c r="C90" t="s">
        <v>327</v>
      </c>
      <c r="D90" t="s">
        <v>402</v>
      </c>
      <c r="E90" s="36" t="s">
        <v>337</v>
      </c>
      <c r="F90" s="36" t="s">
        <v>336</v>
      </c>
      <c r="G90" s="36" t="s">
        <v>324</v>
      </c>
      <c r="H90" s="40" t="str">
        <f>+PROPUESTA!$B$72</f>
        <v>UVR + 11.94%</v>
      </c>
      <c r="I90" s="40" t="e">
        <f t="shared" si="8"/>
        <v>#VALUE!</v>
      </c>
      <c r="J90" s="40" t="e">
        <f t="shared" si="10"/>
        <v>#VALUE!</v>
      </c>
      <c r="K90" s="42" t="e">
        <f t="shared" si="9"/>
        <v>#VALUE!</v>
      </c>
    </row>
    <row r="91" spans="1:11" x14ac:dyDescent="0.35">
      <c r="A91" s="38" t="str">
        <f t="shared" si="7"/>
        <v>ComercialPENSIONADO&lt;300</v>
      </c>
      <c r="B91" s="39" t="s">
        <v>334</v>
      </c>
      <c r="C91" t="s">
        <v>329</v>
      </c>
      <c r="D91" t="s">
        <v>306</v>
      </c>
      <c r="E91" s="36" t="s">
        <v>337</v>
      </c>
      <c r="F91" s="36" t="s">
        <v>336</v>
      </c>
      <c r="G91" s="36" t="s">
        <v>324</v>
      </c>
      <c r="H91" s="40" t="str">
        <f>+PROPUESTA!$B$49</f>
        <v>UVR + 10.10%</v>
      </c>
      <c r="I91" s="40" t="e">
        <f t="shared" si="8"/>
        <v>#VALUE!</v>
      </c>
      <c r="J91" s="40" t="e">
        <f t="shared" si="10"/>
        <v>#VALUE!</v>
      </c>
      <c r="K91" s="42" t="e">
        <f t="shared" si="9"/>
        <v>#VALUE!</v>
      </c>
    </row>
    <row r="92" spans="1:11" x14ac:dyDescent="0.35">
      <c r="A92" s="38" t="str">
        <f t="shared" si="7"/>
        <v>Vivienda NO VISPENSIONADO&lt;300</v>
      </c>
      <c r="B92" s="39" t="s">
        <v>334</v>
      </c>
      <c r="C92" t="s">
        <v>331</v>
      </c>
      <c r="D92" t="s">
        <v>402</v>
      </c>
      <c r="E92" s="36" t="s">
        <v>337</v>
      </c>
      <c r="F92" s="36" t="s">
        <v>336</v>
      </c>
      <c r="G92" s="36" t="s">
        <v>324</v>
      </c>
      <c r="H92" s="40" t="str">
        <f>+PROPUESTA!$B$79</f>
        <v>UVR + 11.94%</v>
      </c>
      <c r="I92" s="40" t="e">
        <f t="shared" si="8"/>
        <v>#VALUE!</v>
      </c>
      <c r="J92" s="40" t="e">
        <f t="shared" si="10"/>
        <v>#VALUE!</v>
      </c>
      <c r="K92" s="42" t="e">
        <f t="shared" si="9"/>
        <v>#VALUE!</v>
      </c>
    </row>
    <row r="93" spans="1:11" x14ac:dyDescent="0.35">
      <c r="A93" s="38" t="str">
        <f t="shared" si="7"/>
        <v>Vivienda NO VISPENSIONADO&gt;=300</v>
      </c>
      <c r="B93" s="39" t="s">
        <v>334</v>
      </c>
      <c r="C93" t="s">
        <v>321</v>
      </c>
      <c r="D93" t="s">
        <v>402</v>
      </c>
      <c r="E93" s="36" t="s">
        <v>337</v>
      </c>
      <c r="F93" s="36" t="s">
        <v>336</v>
      </c>
      <c r="G93" s="36" t="s">
        <v>333</v>
      </c>
      <c r="H93" s="40" t="str">
        <f>+PROPUESTA!$B$17</f>
        <v>UVR + 11.94%</v>
      </c>
      <c r="I93" s="40" t="e">
        <f t="shared" si="8"/>
        <v>#VALUE!</v>
      </c>
      <c r="J93" s="40" t="e">
        <f t="shared" si="10"/>
        <v>#VALUE!</v>
      </c>
      <c r="K93" s="42" t="e">
        <f t="shared" si="9"/>
        <v>#VALUE!</v>
      </c>
    </row>
    <row r="94" spans="1:11" x14ac:dyDescent="0.35">
      <c r="A94" s="38" t="str">
        <f t="shared" si="7"/>
        <v>Vivienda NO VISPENSIONADO&gt;=300</v>
      </c>
      <c r="B94" s="39" t="s">
        <v>334</v>
      </c>
      <c r="C94" t="s">
        <v>325</v>
      </c>
      <c r="D94" t="s">
        <v>402</v>
      </c>
      <c r="E94" s="36" t="s">
        <v>337</v>
      </c>
      <c r="F94" s="36" t="s">
        <v>336</v>
      </c>
      <c r="G94" s="36" t="s">
        <v>333</v>
      </c>
      <c r="H94" s="40" t="str">
        <f>+PROPUESTA!$B$17</f>
        <v>UVR + 11.94%</v>
      </c>
      <c r="I94" s="40" t="e">
        <f t="shared" si="8"/>
        <v>#VALUE!</v>
      </c>
      <c r="J94" s="40" t="e">
        <f t="shared" si="10"/>
        <v>#VALUE!</v>
      </c>
      <c r="K94" s="42" t="e">
        <f t="shared" si="9"/>
        <v>#VALUE!</v>
      </c>
    </row>
    <row r="95" spans="1:11" x14ac:dyDescent="0.35">
      <c r="A95" s="38" t="str">
        <f t="shared" si="7"/>
        <v>Vivienda NO VISPENSIONADO&gt;=300</v>
      </c>
      <c r="B95" s="39" t="s">
        <v>334</v>
      </c>
      <c r="C95" t="s">
        <v>326</v>
      </c>
      <c r="D95" t="s">
        <v>402</v>
      </c>
      <c r="E95" s="36" t="s">
        <v>337</v>
      </c>
      <c r="F95" s="36" t="s">
        <v>336</v>
      </c>
      <c r="G95" s="36" t="s">
        <v>333</v>
      </c>
      <c r="H95" s="40" t="str">
        <f>+PROPUESTA!$B$17</f>
        <v>UVR + 11.94%</v>
      </c>
      <c r="I95" s="40" t="e">
        <f t="shared" si="8"/>
        <v>#VALUE!</v>
      </c>
      <c r="J95" s="40" t="e">
        <f t="shared" si="10"/>
        <v>#VALUE!</v>
      </c>
      <c r="K95" s="42" t="e">
        <f t="shared" si="9"/>
        <v>#VALUE!</v>
      </c>
    </row>
    <row r="96" spans="1:11" x14ac:dyDescent="0.35">
      <c r="A96" s="38" t="str">
        <f t="shared" si="7"/>
        <v>Vivienda NO VISPENSIONADO&gt;=300</v>
      </c>
      <c r="B96" s="39" t="s">
        <v>334</v>
      </c>
      <c r="C96" t="s">
        <v>327</v>
      </c>
      <c r="D96" t="s">
        <v>402</v>
      </c>
      <c r="E96" s="36" t="s">
        <v>337</v>
      </c>
      <c r="F96" s="36" t="s">
        <v>336</v>
      </c>
      <c r="G96" s="36" t="s">
        <v>333</v>
      </c>
      <c r="H96" s="40" t="str">
        <f>+PROPUESTA!$B$72</f>
        <v>UVR + 11.94%</v>
      </c>
      <c r="I96" s="40" t="e">
        <f t="shared" si="8"/>
        <v>#VALUE!</v>
      </c>
      <c r="J96" s="40" t="e">
        <f t="shared" si="10"/>
        <v>#VALUE!</v>
      </c>
      <c r="K96" s="42" t="e">
        <f t="shared" si="9"/>
        <v>#VALUE!</v>
      </c>
    </row>
    <row r="97" spans="1:11" x14ac:dyDescent="0.35">
      <c r="A97" s="38" t="str">
        <f t="shared" si="7"/>
        <v>ComercialPENSIONADO&gt;=300</v>
      </c>
      <c r="B97" s="39" t="s">
        <v>334</v>
      </c>
      <c r="C97" t="s">
        <v>329</v>
      </c>
      <c r="D97" t="s">
        <v>306</v>
      </c>
      <c r="E97" s="36" t="s">
        <v>337</v>
      </c>
      <c r="F97" s="36" t="s">
        <v>336</v>
      </c>
      <c r="G97" s="36" t="s">
        <v>333</v>
      </c>
      <c r="H97" s="40" t="str">
        <f>+PROPUESTA!$B$51</f>
        <v>UVR + 9.80%</v>
      </c>
      <c r="I97" s="40" t="e">
        <f t="shared" si="8"/>
        <v>#VALUE!</v>
      </c>
      <c r="J97" s="40" t="e">
        <f t="shared" si="10"/>
        <v>#VALUE!</v>
      </c>
      <c r="K97" s="42" t="e">
        <f t="shared" si="9"/>
        <v>#VALUE!</v>
      </c>
    </row>
    <row r="98" spans="1:11" x14ac:dyDescent="0.35">
      <c r="A98" s="38" t="str">
        <f t="shared" si="7"/>
        <v>Vivienda NO VISPENSIONADO&gt;=300</v>
      </c>
      <c r="B98" s="39" t="s">
        <v>334</v>
      </c>
      <c r="C98" t="s">
        <v>331</v>
      </c>
      <c r="D98" t="s">
        <v>402</v>
      </c>
      <c r="E98" s="36" t="s">
        <v>337</v>
      </c>
      <c r="F98" s="36" t="s">
        <v>336</v>
      </c>
      <c r="G98" s="36" t="s">
        <v>333</v>
      </c>
      <c r="H98" s="40" t="str">
        <f>+PROPUESTA!$B$79</f>
        <v>UVR + 11.94%</v>
      </c>
      <c r="I98" s="40" t="e">
        <f t="shared" si="8"/>
        <v>#VALUE!</v>
      </c>
      <c r="J98" s="40" t="e">
        <f t="shared" si="10"/>
        <v>#VALUE!</v>
      </c>
      <c r="K98" s="42" t="e">
        <f t="shared" si="9"/>
        <v>#VALUE!</v>
      </c>
    </row>
    <row r="99" spans="1:11" x14ac:dyDescent="0.35">
      <c r="A99" s="38" t="str">
        <f t="shared" ref="A99:A130" si="11">D99&amp;B99&amp;G99</f>
        <v>Vivienda NO VISINDEPENDIENTE&lt;300</v>
      </c>
      <c r="B99" s="39" t="s">
        <v>335</v>
      </c>
      <c r="C99" t="s">
        <v>321</v>
      </c>
      <c r="D99" t="s">
        <v>402</v>
      </c>
      <c r="E99" s="36" t="s">
        <v>337</v>
      </c>
      <c r="F99" s="36" t="s">
        <v>336</v>
      </c>
      <c r="G99" s="36" t="s">
        <v>324</v>
      </c>
      <c r="H99" s="40" t="str">
        <f>+PROPUESTA!$B$15</f>
        <v>UVR + 12.34%</v>
      </c>
      <c r="I99" s="40" t="e">
        <f t="shared" ref="I99:I130" si="12">+IF(H99="ERROR","ERROR",IF(LEFT(H99,1)="U",CONCATENATE("UVR + ",(RIGHT(H99,6)*1-I$1)*100,"%"),H99-I$1))</f>
        <v>#VALUE!</v>
      </c>
      <c r="J99" s="40" t="e">
        <f t="shared" si="10"/>
        <v>#VALUE!</v>
      </c>
      <c r="K99" s="42" t="e">
        <f t="shared" ref="K99:K130" si="13">+IF(J99="ERROR","ERROR",IF(E99="NO VIS",50%,100%))</f>
        <v>#VALUE!</v>
      </c>
    </row>
    <row r="100" spans="1:11" x14ac:dyDescent="0.35">
      <c r="A100" s="38" t="str">
        <f t="shared" si="11"/>
        <v>Vivienda NO VISINDEPENDIENTE&lt;300</v>
      </c>
      <c r="B100" s="39" t="s">
        <v>335</v>
      </c>
      <c r="C100" t="s">
        <v>325</v>
      </c>
      <c r="D100" t="s">
        <v>402</v>
      </c>
      <c r="E100" s="36" t="s">
        <v>337</v>
      </c>
      <c r="F100" s="36" t="s">
        <v>336</v>
      </c>
      <c r="G100" s="36" t="s">
        <v>324</v>
      </c>
      <c r="H100" s="40" t="str">
        <f>+PROPUESTA!$B$15</f>
        <v>UVR + 12.34%</v>
      </c>
      <c r="I100" s="40" t="e">
        <f t="shared" si="12"/>
        <v>#VALUE!</v>
      </c>
      <c r="J100" s="40" t="e">
        <f t="shared" si="10"/>
        <v>#VALUE!</v>
      </c>
      <c r="K100" s="42" t="e">
        <f t="shared" si="13"/>
        <v>#VALUE!</v>
      </c>
    </row>
    <row r="101" spans="1:11" x14ac:dyDescent="0.35">
      <c r="A101" s="38" t="str">
        <f t="shared" si="11"/>
        <v>Vivienda NO VISINDEPENDIENTE&lt;300</v>
      </c>
      <c r="B101" s="39" t="s">
        <v>335</v>
      </c>
      <c r="C101" t="s">
        <v>326</v>
      </c>
      <c r="D101" t="s">
        <v>402</v>
      </c>
      <c r="E101" s="36" t="s">
        <v>337</v>
      </c>
      <c r="F101" s="36" t="s">
        <v>336</v>
      </c>
      <c r="G101" s="36" t="s">
        <v>324</v>
      </c>
      <c r="H101" s="40" t="str">
        <f>+PROPUESTA!$B$15</f>
        <v>UVR + 12.34%</v>
      </c>
      <c r="I101" s="40" t="e">
        <f t="shared" si="12"/>
        <v>#VALUE!</v>
      </c>
      <c r="J101" s="40" t="e">
        <f t="shared" si="10"/>
        <v>#VALUE!</v>
      </c>
      <c r="K101" s="42" t="e">
        <f t="shared" si="13"/>
        <v>#VALUE!</v>
      </c>
    </row>
    <row r="102" spans="1:11" x14ac:dyDescent="0.35">
      <c r="A102" s="38" t="str">
        <f t="shared" si="11"/>
        <v>Vivienda NO VISINDEPENDIENTE&lt;300</v>
      </c>
      <c r="B102" s="39" t="s">
        <v>335</v>
      </c>
      <c r="C102" t="s">
        <v>327</v>
      </c>
      <c r="D102" t="s">
        <v>402</v>
      </c>
      <c r="E102" s="36" t="s">
        <v>337</v>
      </c>
      <c r="F102" s="36" t="s">
        <v>336</v>
      </c>
      <c r="G102" s="36" t="s">
        <v>324</v>
      </c>
      <c r="H102" s="40" t="str">
        <f>+PROPUESTA!$B$72</f>
        <v>UVR + 11.94%</v>
      </c>
      <c r="I102" s="40" t="e">
        <f t="shared" si="12"/>
        <v>#VALUE!</v>
      </c>
      <c r="J102" s="40" t="e">
        <f t="shared" si="10"/>
        <v>#VALUE!</v>
      </c>
      <c r="K102" s="42" t="e">
        <f t="shared" si="13"/>
        <v>#VALUE!</v>
      </c>
    </row>
    <row r="103" spans="1:11" x14ac:dyDescent="0.35">
      <c r="A103" s="38" t="str">
        <f t="shared" si="11"/>
        <v>ComercialINDEPENDIENTE&lt;300</v>
      </c>
      <c r="B103" s="39" t="s">
        <v>335</v>
      </c>
      <c r="C103" t="s">
        <v>329</v>
      </c>
      <c r="D103" t="s">
        <v>306</v>
      </c>
      <c r="E103" s="36" t="s">
        <v>337</v>
      </c>
      <c r="F103" s="36" t="s">
        <v>336</v>
      </c>
      <c r="G103" s="36" t="s">
        <v>324</v>
      </c>
      <c r="H103" s="40" t="str">
        <f>+PROPUESTA!$B$49</f>
        <v>UVR + 10.10%</v>
      </c>
      <c r="I103" s="40" t="e">
        <f t="shared" si="12"/>
        <v>#VALUE!</v>
      </c>
      <c r="J103" s="40" t="e">
        <f t="shared" si="10"/>
        <v>#VALUE!</v>
      </c>
      <c r="K103" s="42" t="e">
        <f t="shared" si="13"/>
        <v>#VALUE!</v>
      </c>
    </row>
    <row r="104" spans="1:11" x14ac:dyDescent="0.35">
      <c r="A104" s="38" t="str">
        <f t="shared" si="11"/>
        <v>Vivienda NO VISINDEPENDIENTE&lt;300</v>
      </c>
      <c r="B104" s="39" t="s">
        <v>335</v>
      </c>
      <c r="C104" t="s">
        <v>331</v>
      </c>
      <c r="D104" t="s">
        <v>402</v>
      </c>
      <c r="E104" s="36" t="s">
        <v>337</v>
      </c>
      <c r="F104" s="36" t="s">
        <v>336</v>
      </c>
      <c r="G104" s="36" t="s">
        <v>324</v>
      </c>
      <c r="H104" s="40" t="str">
        <f>+PROPUESTA!$B$79</f>
        <v>UVR + 11.94%</v>
      </c>
      <c r="I104" s="40" t="e">
        <f t="shared" si="12"/>
        <v>#VALUE!</v>
      </c>
      <c r="J104" s="40" t="e">
        <f t="shared" si="10"/>
        <v>#VALUE!</v>
      </c>
      <c r="K104" s="42" t="e">
        <f t="shared" si="13"/>
        <v>#VALUE!</v>
      </c>
    </row>
    <row r="105" spans="1:11" x14ac:dyDescent="0.35">
      <c r="A105" s="38" t="str">
        <f t="shared" si="11"/>
        <v>Vivienda NO VISINDEPENDIENTE&gt;=300</v>
      </c>
      <c r="B105" s="39" t="s">
        <v>335</v>
      </c>
      <c r="C105" t="s">
        <v>321</v>
      </c>
      <c r="D105" t="s">
        <v>402</v>
      </c>
      <c r="E105" s="36" t="s">
        <v>337</v>
      </c>
      <c r="F105" s="36" t="s">
        <v>336</v>
      </c>
      <c r="G105" s="36" t="s">
        <v>333</v>
      </c>
      <c r="H105" s="40" t="str">
        <f>+PROPUESTA!$B$18</f>
        <v>UVR + 12.34%</v>
      </c>
      <c r="I105" s="40" t="e">
        <f t="shared" si="12"/>
        <v>#VALUE!</v>
      </c>
      <c r="J105" s="40" t="e">
        <f t="shared" si="10"/>
        <v>#VALUE!</v>
      </c>
      <c r="K105" s="42" t="e">
        <f t="shared" si="13"/>
        <v>#VALUE!</v>
      </c>
    </row>
    <row r="106" spans="1:11" x14ac:dyDescent="0.35">
      <c r="A106" s="38" t="str">
        <f t="shared" si="11"/>
        <v>Vivienda NO VISINDEPENDIENTE&gt;=300</v>
      </c>
      <c r="B106" s="39" t="s">
        <v>335</v>
      </c>
      <c r="C106" t="s">
        <v>325</v>
      </c>
      <c r="D106" t="s">
        <v>402</v>
      </c>
      <c r="E106" s="36" t="s">
        <v>337</v>
      </c>
      <c r="F106" s="36" t="s">
        <v>336</v>
      </c>
      <c r="G106" s="36" t="s">
        <v>333</v>
      </c>
      <c r="H106" s="40" t="str">
        <f>+PROPUESTA!$B$18</f>
        <v>UVR + 12.34%</v>
      </c>
      <c r="I106" s="40" t="e">
        <f t="shared" si="12"/>
        <v>#VALUE!</v>
      </c>
      <c r="J106" s="40" t="e">
        <f t="shared" ref="J106:J137" si="14">+IF(I106="ERROR","ERROR",IF(LEFT(I106,1)="U",CONCATENATE("UVR + ",(RIGHT(I106,6)*1-J$1)*100,"%"),I106-J$1))</f>
        <v>#VALUE!</v>
      </c>
      <c r="K106" s="42" t="e">
        <f t="shared" si="13"/>
        <v>#VALUE!</v>
      </c>
    </row>
    <row r="107" spans="1:11" x14ac:dyDescent="0.35">
      <c r="A107" s="38" t="str">
        <f t="shared" si="11"/>
        <v>Vivienda NO VISINDEPENDIENTE&gt;=300</v>
      </c>
      <c r="B107" s="39" t="s">
        <v>335</v>
      </c>
      <c r="C107" t="s">
        <v>326</v>
      </c>
      <c r="D107" t="s">
        <v>402</v>
      </c>
      <c r="E107" s="36" t="s">
        <v>337</v>
      </c>
      <c r="F107" s="36" t="s">
        <v>336</v>
      </c>
      <c r="G107" s="36" t="s">
        <v>333</v>
      </c>
      <c r="H107" s="40" t="str">
        <f>+PROPUESTA!$B$18</f>
        <v>UVR + 12.34%</v>
      </c>
      <c r="I107" s="40" t="e">
        <f t="shared" si="12"/>
        <v>#VALUE!</v>
      </c>
      <c r="J107" s="40" t="e">
        <f t="shared" si="14"/>
        <v>#VALUE!</v>
      </c>
      <c r="K107" s="42" t="e">
        <f t="shared" si="13"/>
        <v>#VALUE!</v>
      </c>
    </row>
    <row r="108" spans="1:11" x14ac:dyDescent="0.35">
      <c r="A108" s="38" t="str">
        <f t="shared" si="11"/>
        <v>Vivienda NO VISINDEPENDIENTE&gt;=300</v>
      </c>
      <c r="B108" s="39" t="s">
        <v>335</v>
      </c>
      <c r="C108" t="s">
        <v>327</v>
      </c>
      <c r="D108" t="s">
        <v>402</v>
      </c>
      <c r="E108" s="36" t="s">
        <v>337</v>
      </c>
      <c r="F108" s="36" t="s">
        <v>336</v>
      </c>
      <c r="G108" s="36" t="s">
        <v>333</v>
      </c>
      <c r="H108" s="40" t="str">
        <f>+PROPUESTA!$B$72</f>
        <v>UVR + 11.94%</v>
      </c>
      <c r="I108" s="40" t="e">
        <f t="shared" si="12"/>
        <v>#VALUE!</v>
      </c>
      <c r="J108" s="40" t="e">
        <f t="shared" si="14"/>
        <v>#VALUE!</v>
      </c>
      <c r="K108" s="42" t="e">
        <f t="shared" si="13"/>
        <v>#VALUE!</v>
      </c>
    </row>
    <row r="109" spans="1:11" x14ac:dyDescent="0.35">
      <c r="A109" s="38" t="str">
        <f t="shared" si="11"/>
        <v>ComercialINDEPENDIENTE&gt;=300</v>
      </c>
      <c r="B109" s="39" t="s">
        <v>335</v>
      </c>
      <c r="C109" t="s">
        <v>329</v>
      </c>
      <c r="D109" t="s">
        <v>306</v>
      </c>
      <c r="E109" s="36" t="s">
        <v>337</v>
      </c>
      <c r="F109" s="36" t="s">
        <v>336</v>
      </c>
      <c r="G109" s="36" t="s">
        <v>333</v>
      </c>
      <c r="H109" s="40" t="str">
        <f>+PROPUESTA!$B$51</f>
        <v>UVR + 9.80%</v>
      </c>
      <c r="I109" s="40" t="e">
        <f t="shared" si="12"/>
        <v>#VALUE!</v>
      </c>
      <c r="J109" s="40" t="e">
        <f t="shared" si="14"/>
        <v>#VALUE!</v>
      </c>
      <c r="K109" s="42" t="e">
        <f t="shared" si="13"/>
        <v>#VALUE!</v>
      </c>
    </row>
    <row r="110" spans="1:11" x14ac:dyDescent="0.35">
      <c r="A110" s="38" t="str">
        <f t="shared" si="11"/>
        <v>Vivienda NO VISINDEPENDIENTE&gt;=300</v>
      </c>
      <c r="B110" s="39" t="s">
        <v>335</v>
      </c>
      <c r="C110" t="s">
        <v>331</v>
      </c>
      <c r="D110" t="s">
        <v>402</v>
      </c>
      <c r="E110" s="36" t="s">
        <v>337</v>
      </c>
      <c r="F110" s="36" t="s">
        <v>336</v>
      </c>
      <c r="G110" s="36" t="s">
        <v>333</v>
      </c>
      <c r="H110" s="40" t="str">
        <f>+PROPUESTA!$B$79</f>
        <v>UVR + 11.94%</v>
      </c>
      <c r="I110" s="40" t="e">
        <f t="shared" si="12"/>
        <v>#VALUE!</v>
      </c>
      <c r="J110" s="40" t="e">
        <f t="shared" si="14"/>
        <v>#VALUE!</v>
      </c>
      <c r="K110" s="42" t="e">
        <f t="shared" si="13"/>
        <v>#VALUE!</v>
      </c>
    </row>
    <row r="111" spans="1:11" x14ac:dyDescent="0.35">
      <c r="A111" s="38" t="str">
        <f t="shared" si="11"/>
        <v>Vivienda VISASALARIADO&lt;300</v>
      </c>
      <c r="B111" s="39" t="s">
        <v>320</v>
      </c>
      <c r="C111" t="s">
        <v>327</v>
      </c>
      <c r="D111" t="s">
        <v>401</v>
      </c>
      <c r="E111" s="36" t="s">
        <v>322</v>
      </c>
      <c r="F111" s="36" t="s">
        <v>323</v>
      </c>
      <c r="G111" s="36" t="s">
        <v>324</v>
      </c>
      <c r="H111" s="40" t="s">
        <v>328</v>
      </c>
      <c r="I111" s="40" t="str">
        <f t="shared" si="12"/>
        <v>ERROR</v>
      </c>
      <c r="J111" s="40" t="str">
        <f t="shared" si="14"/>
        <v>ERROR</v>
      </c>
      <c r="K111" s="42" t="str">
        <f t="shared" si="13"/>
        <v>ERROR</v>
      </c>
    </row>
    <row r="112" spans="1:11" x14ac:dyDescent="0.35">
      <c r="A112" s="38" t="str">
        <f t="shared" si="11"/>
        <v>ComercialASALARIADO&lt;300</v>
      </c>
      <c r="B112" s="39" t="s">
        <v>320</v>
      </c>
      <c r="C112" t="s">
        <v>329</v>
      </c>
      <c r="D112" t="s">
        <v>306</v>
      </c>
      <c r="E112" s="36" t="s">
        <v>322</v>
      </c>
      <c r="F112" s="36" t="s">
        <v>323</v>
      </c>
      <c r="G112" s="36" t="s">
        <v>324</v>
      </c>
      <c r="H112" s="40" t="s">
        <v>328</v>
      </c>
      <c r="I112" s="40" t="str">
        <f t="shared" si="12"/>
        <v>ERROR</v>
      </c>
      <c r="J112" s="40" t="str">
        <f t="shared" si="14"/>
        <v>ERROR</v>
      </c>
      <c r="K112" s="42" t="str">
        <f t="shared" si="13"/>
        <v>ERROR</v>
      </c>
    </row>
    <row r="113" spans="1:11" x14ac:dyDescent="0.35">
      <c r="A113" s="38" t="str">
        <f t="shared" si="11"/>
        <v>Libre InversiónASALARIADO&lt;300</v>
      </c>
      <c r="B113" s="39" t="s">
        <v>320</v>
      </c>
      <c r="C113" t="s">
        <v>330</v>
      </c>
      <c r="D113" t="s">
        <v>303</v>
      </c>
      <c r="E113" s="36" t="s">
        <v>322</v>
      </c>
      <c r="F113" s="36" t="s">
        <v>323</v>
      </c>
      <c r="G113" s="36" t="s">
        <v>324</v>
      </c>
      <c r="H113" s="40" t="s">
        <v>328</v>
      </c>
      <c r="I113" s="40" t="str">
        <f t="shared" si="12"/>
        <v>ERROR</v>
      </c>
      <c r="J113" s="40" t="str">
        <f t="shared" si="14"/>
        <v>ERROR</v>
      </c>
      <c r="K113" s="42" t="str">
        <f t="shared" si="13"/>
        <v>ERROR</v>
      </c>
    </row>
    <row r="114" spans="1:11" x14ac:dyDescent="0.35">
      <c r="A114" s="38" t="str">
        <f t="shared" si="11"/>
        <v>NOASALARIADO&lt;300</v>
      </c>
      <c r="B114" s="39" t="s">
        <v>320</v>
      </c>
      <c r="C114" t="s">
        <v>332</v>
      </c>
      <c r="D114" t="s">
        <v>413</v>
      </c>
      <c r="E114" s="36" t="s">
        <v>322</v>
      </c>
      <c r="F114" s="36" t="s">
        <v>323</v>
      </c>
      <c r="G114" s="36" t="s">
        <v>324</v>
      </c>
      <c r="H114" s="40" t="s">
        <v>328</v>
      </c>
      <c r="I114" s="40" t="str">
        <f t="shared" si="12"/>
        <v>ERROR</v>
      </c>
      <c r="J114" s="40" t="str">
        <f t="shared" si="14"/>
        <v>ERROR</v>
      </c>
      <c r="K114" s="42" t="str">
        <f t="shared" si="13"/>
        <v>ERROR</v>
      </c>
    </row>
    <row r="115" spans="1:11" x14ac:dyDescent="0.35">
      <c r="A115" s="38" t="str">
        <f t="shared" si="11"/>
        <v>Vivienda VISASALARIADO&gt;=300</v>
      </c>
      <c r="B115" s="39" t="s">
        <v>320</v>
      </c>
      <c r="C115" t="s">
        <v>321</v>
      </c>
      <c r="D115" t="s">
        <v>401</v>
      </c>
      <c r="E115" s="36" t="s">
        <v>322</v>
      </c>
      <c r="F115" s="36" t="s">
        <v>323</v>
      </c>
      <c r="G115" s="36" t="s">
        <v>333</v>
      </c>
      <c r="H115" s="40" t="s">
        <v>328</v>
      </c>
      <c r="I115" s="40" t="str">
        <f t="shared" si="12"/>
        <v>ERROR</v>
      </c>
      <c r="J115" s="40" t="str">
        <f t="shared" si="14"/>
        <v>ERROR</v>
      </c>
      <c r="K115" s="42" t="str">
        <f t="shared" si="13"/>
        <v>ERROR</v>
      </c>
    </row>
    <row r="116" spans="1:11" x14ac:dyDescent="0.35">
      <c r="A116" s="38" t="str">
        <f t="shared" si="11"/>
        <v>Vivienda VISASALARIADO&gt;=300</v>
      </c>
      <c r="B116" s="39" t="s">
        <v>320</v>
      </c>
      <c r="C116" t="s">
        <v>325</v>
      </c>
      <c r="D116" t="s">
        <v>401</v>
      </c>
      <c r="E116" s="36" t="s">
        <v>322</v>
      </c>
      <c r="F116" s="36" t="s">
        <v>323</v>
      </c>
      <c r="G116" s="36" t="s">
        <v>333</v>
      </c>
      <c r="H116" s="40" t="s">
        <v>328</v>
      </c>
      <c r="I116" s="40" t="str">
        <f t="shared" si="12"/>
        <v>ERROR</v>
      </c>
      <c r="J116" s="40" t="str">
        <f t="shared" si="14"/>
        <v>ERROR</v>
      </c>
      <c r="K116" s="42" t="str">
        <f t="shared" si="13"/>
        <v>ERROR</v>
      </c>
    </row>
    <row r="117" spans="1:11" x14ac:dyDescent="0.35">
      <c r="A117" s="38" t="str">
        <f t="shared" si="11"/>
        <v>Vivienda VISASALARIADO&gt;=300</v>
      </c>
      <c r="B117" s="39" t="s">
        <v>320</v>
      </c>
      <c r="C117" t="s">
        <v>326</v>
      </c>
      <c r="D117" t="s">
        <v>401</v>
      </c>
      <c r="E117" s="36" t="s">
        <v>322</v>
      </c>
      <c r="F117" s="36" t="s">
        <v>323</v>
      </c>
      <c r="G117" s="36" t="s">
        <v>333</v>
      </c>
      <c r="H117" s="40" t="s">
        <v>328</v>
      </c>
      <c r="I117" s="40" t="str">
        <f t="shared" si="12"/>
        <v>ERROR</v>
      </c>
      <c r="J117" s="40" t="str">
        <f t="shared" si="14"/>
        <v>ERROR</v>
      </c>
      <c r="K117" s="42" t="str">
        <f t="shared" si="13"/>
        <v>ERROR</v>
      </c>
    </row>
    <row r="118" spans="1:11" x14ac:dyDescent="0.35">
      <c r="A118" s="38" t="str">
        <f t="shared" si="11"/>
        <v>Vivienda VISASALARIADO&gt;=300</v>
      </c>
      <c r="B118" s="39" t="s">
        <v>320</v>
      </c>
      <c r="C118" t="s">
        <v>327</v>
      </c>
      <c r="D118" t="s">
        <v>401</v>
      </c>
      <c r="E118" s="36" t="s">
        <v>322</v>
      </c>
      <c r="F118" s="36" t="s">
        <v>323</v>
      </c>
      <c r="G118" s="36" t="s">
        <v>333</v>
      </c>
      <c r="H118" s="40" t="s">
        <v>328</v>
      </c>
      <c r="I118" s="40" t="str">
        <f t="shared" si="12"/>
        <v>ERROR</v>
      </c>
      <c r="J118" s="40" t="str">
        <f t="shared" si="14"/>
        <v>ERROR</v>
      </c>
      <c r="K118" s="42" t="str">
        <f t="shared" si="13"/>
        <v>ERROR</v>
      </c>
    </row>
    <row r="119" spans="1:11" x14ac:dyDescent="0.35">
      <c r="A119" s="38" t="str">
        <f t="shared" si="11"/>
        <v>ComercialASALARIADO&gt;=300</v>
      </c>
      <c r="B119" s="39" t="s">
        <v>320</v>
      </c>
      <c r="C119" t="s">
        <v>329</v>
      </c>
      <c r="D119" t="s">
        <v>306</v>
      </c>
      <c r="E119" s="36" t="s">
        <v>322</v>
      </c>
      <c r="F119" s="36" t="s">
        <v>323</v>
      </c>
      <c r="G119" s="36" t="s">
        <v>333</v>
      </c>
      <c r="H119" s="40" t="s">
        <v>328</v>
      </c>
      <c r="I119" s="40" t="str">
        <f t="shared" si="12"/>
        <v>ERROR</v>
      </c>
      <c r="J119" s="40" t="str">
        <f t="shared" si="14"/>
        <v>ERROR</v>
      </c>
      <c r="K119" s="42" t="str">
        <f t="shared" si="13"/>
        <v>ERROR</v>
      </c>
    </row>
    <row r="120" spans="1:11" x14ac:dyDescent="0.35">
      <c r="A120" s="38" t="str">
        <f t="shared" si="11"/>
        <v>Libre InversiónASALARIADO&gt;=300</v>
      </c>
      <c r="B120" s="39" t="s">
        <v>320</v>
      </c>
      <c r="C120" t="s">
        <v>330</v>
      </c>
      <c r="D120" t="s">
        <v>303</v>
      </c>
      <c r="E120" s="36" t="s">
        <v>322</v>
      </c>
      <c r="F120" s="36" t="s">
        <v>323</v>
      </c>
      <c r="G120" s="36" t="s">
        <v>333</v>
      </c>
      <c r="H120" s="40" t="s">
        <v>328</v>
      </c>
      <c r="I120" s="40" t="str">
        <f t="shared" si="12"/>
        <v>ERROR</v>
      </c>
      <c r="J120" s="40" t="str">
        <f t="shared" si="14"/>
        <v>ERROR</v>
      </c>
      <c r="K120" s="42" t="str">
        <f t="shared" si="13"/>
        <v>ERROR</v>
      </c>
    </row>
    <row r="121" spans="1:11" x14ac:dyDescent="0.35">
      <c r="A121" s="38" t="str">
        <f t="shared" si="11"/>
        <v>Vivienda VISASALARIADO&gt;=300</v>
      </c>
      <c r="B121" s="39" t="s">
        <v>320</v>
      </c>
      <c r="C121" t="s">
        <v>331</v>
      </c>
      <c r="D121" t="s">
        <v>401</v>
      </c>
      <c r="E121" s="36" t="s">
        <v>322</v>
      </c>
      <c r="F121" s="36" t="s">
        <v>323</v>
      </c>
      <c r="G121" s="36" t="s">
        <v>333</v>
      </c>
      <c r="H121" s="40" t="s">
        <v>328</v>
      </c>
      <c r="I121" s="40" t="str">
        <f t="shared" si="12"/>
        <v>ERROR</v>
      </c>
      <c r="J121" s="40" t="str">
        <f t="shared" si="14"/>
        <v>ERROR</v>
      </c>
      <c r="K121" s="42" t="str">
        <f t="shared" si="13"/>
        <v>ERROR</v>
      </c>
    </row>
    <row r="122" spans="1:11" x14ac:dyDescent="0.35">
      <c r="A122" s="38" t="str">
        <f t="shared" si="11"/>
        <v>NOASALARIADO&gt;=300</v>
      </c>
      <c r="B122" s="39" t="s">
        <v>320</v>
      </c>
      <c r="C122" t="s">
        <v>332</v>
      </c>
      <c r="D122" t="s">
        <v>413</v>
      </c>
      <c r="E122" s="36" t="s">
        <v>322</v>
      </c>
      <c r="F122" s="36" t="s">
        <v>323</v>
      </c>
      <c r="G122" s="36" t="s">
        <v>333</v>
      </c>
      <c r="H122" s="40" t="s">
        <v>328</v>
      </c>
      <c r="I122" s="40" t="str">
        <f t="shared" si="12"/>
        <v>ERROR</v>
      </c>
      <c r="J122" s="40" t="str">
        <f t="shared" si="14"/>
        <v>ERROR</v>
      </c>
      <c r="K122" s="42" t="str">
        <f t="shared" si="13"/>
        <v>ERROR</v>
      </c>
    </row>
    <row r="123" spans="1:11" x14ac:dyDescent="0.35">
      <c r="A123" s="38" t="str">
        <f t="shared" si="11"/>
        <v>Vivienda VISPENSIONADO&lt;300</v>
      </c>
      <c r="B123" s="39" t="s">
        <v>334</v>
      </c>
      <c r="C123" t="s">
        <v>327</v>
      </c>
      <c r="D123" t="s">
        <v>401</v>
      </c>
      <c r="E123" s="36" t="s">
        <v>322</v>
      </c>
      <c r="F123" s="36" t="s">
        <v>323</v>
      </c>
      <c r="G123" s="36" t="s">
        <v>324</v>
      </c>
      <c r="H123" s="40" t="s">
        <v>328</v>
      </c>
      <c r="I123" s="40" t="str">
        <f t="shared" si="12"/>
        <v>ERROR</v>
      </c>
      <c r="J123" s="40" t="str">
        <f t="shared" si="14"/>
        <v>ERROR</v>
      </c>
      <c r="K123" s="42" t="str">
        <f t="shared" si="13"/>
        <v>ERROR</v>
      </c>
    </row>
    <row r="124" spans="1:11" x14ac:dyDescent="0.35">
      <c r="A124" s="38" t="str">
        <f t="shared" si="11"/>
        <v>ComercialPENSIONADO&lt;300</v>
      </c>
      <c r="B124" s="39" t="s">
        <v>334</v>
      </c>
      <c r="C124" t="s">
        <v>329</v>
      </c>
      <c r="D124" t="s">
        <v>306</v>
      </c>
      <c r="E124" s="36" t="s">
        <v>322</v>
      </c>
      <c r="F124" s="36" t="s">
        <v>323</v>
      </c>
      <c r="G124" s="36" t="s">
        <v>324</v>
      </c>
      <c r="H124" s="40" t="s">
        <v>328</v>
      </c>
      <c r="I124" s="40" t="str">
        <f t="shared" si="12"/>
        <v>ERROR</v>
      </c>
      <c r="J124" s="40" t="str">
        <f t="shared" si="14"/>
        <v>ERROR</v>
      </c>
      <c r="K124" s="42" t="str">
        <f t="shared" si="13"/>
        <v>ERROR</v>
      </c>
    </row>
    <row r="125" spans="1:11" x14ac:dyDescent="0.35">
      <c r="A125" s="38" t="str">
        <f t="shared" si="11"/>
        <v>Libre InversiónPENSIONADO&lt;300</v>
      </c>
      <c r="B125" s="39" t="s">
        <v>334</v>
      </c>
      <c r="C125" t="s">
        <v>330</v>
      </c>
      <c r="D125" t="s">
        <v>303</v>
      </c>
      <c r="E125" s="36" t="s">
        <v>322</v>
      </c>
      <c r="F125" s="36" t="s">
        <v>323</v>
      </c>
      <c r="G125" s="36" t="s">
        <v>324</v>
      </c>
      <c r="H125" s="40" t="s">
        <v>328</v>
      </c>
      <c r="I125" s="40" t="str">
        <f t="shared" si="12"/>
        <v>ERROR</v>
      </c>
      <c r="J125" s="40" t="str">
        <f t="shared" si="14"/>
        <v>ERROR</v>
      </c>
      <c r="K125" s="42" t="str">
        <f t="shared" si="13"/>
        <v>ERROR</v>
      </c>
    </row>
    <row r="126" spans="1:11" x14ac:dyDescent="0.35">
      <c r="A126" s="38" t="str">
        <f t="shared" si="11"/>
        <v>NOPENSIONADO&lt;300</v>
      </c>
      <c r="B126" s="39" t="s">
        <v>334</v>
      </c>
      <c r="C126" t="s">
        <v>332</v>
      </c>
      <c r="D126" t="s">
        <v>413</v>
      </c>
      <c r="E126" s="36" t="s">
        <v>322</v>
      </c>
      <c r="F126" s="36" t="s">
        <v>323</v>
      </c>
      <c r="G126" s="36" t="s">
        <v>324</v>
      </c>
      <c r="H126" s="40" t="s">
        <v>328</v>
      </c>
      <c r="I126" s="40" t="str">
        <f t="shared" si="12"/>
        <v>ERROR</v>
      </c>
      <c r="J126" s="40" t="str">
        <f t="shared" si="14"/>
        <v>ERROR</v>
      </c>
      <c r="K126" s="42" t="str">
        <f t="shared" si="13"/>
        <v>ERROR</v>
      </c>
    </row>
    <row r="127" spans="1:11" x14ac:dyDescent="0.35">
      <c r="A127" s="38" t="str">
        <f t="shared" si="11"/>
        <v>Vivienda VISPENSIONADO&gt;=300</v>
      </c>
      <c r="B127" s="39" t="s">
        <v>334</v>
      </c>
      <c r="C127" t="s">
        <v>321</v>
      </c>
      <c r="D127" t="s">
        <v>401</v>
      </c>
      <c r="E127" s="36" t="s">
        <v>322</v>
      </c>
      <c r="F127" s="36" t="s">
        <v>323</v>
      </c>
      <c r="G127" s="36" t="s">
        <v>333</v>
      </c>
      <c r="H127" s="40" t="s">
        <v>328</v>
      </c>
      <c r="I127" s="40" t="str">
        <f t="shared" si="12"/>
        <v>ERROR</v>
      </c>
      <c r="J127" s="40" t="str">
        <f t="shared" si="14"/>
        <v>ERROR</v>
      </c>
      <c r="K127" s="42" t="str">
        <f t="shared" si="13"/>
        <v>ERROR</v>
      </c>
    </row>
    <row r="128" spans="1:11" x14ac:dyDescent="0.35">
      <c r="A128" s="38" t="str">
        <f t="shared" si="11"/>
        <v>Vivienda VISPENSIONADO&gt;=300</v>
      </c>
      <c r="B128" s="39" t="s">
        <v>334</v>
      </c>
      <c r="C128" t="s">
        <v>325</v>
      </c>
      <c r="D128" t="s">
        <v>401</v>
      </c>
      <c r="E128" s="36" t="s">
        <v>322</v>
      </c>
      <c r="F128" s="36" t="s">
        <v>323</v>
      </c>
      <c r="G128" s="36" t="s">
        <v>333</v>
      </c>
      <c r="H128" s="40" t="s">
        <v>328</v>
      </c>
      <c r="I128" s="40" t="str">
        <f t="shared" si="12"/>
        <v>ERROR</v>
      </c>
      <c r="J128" s="40" t="str">
        <f t="shared" si="14"/>
        <v>ERROR</v>
      </c>
      <c r="K128" s="42" t="str">
        <f t="shared" si="13"/>
        <v>ERROR</v>
      </c>
    </row>
    <row r="129" spans="1:11" x14ac:dyDescent="0.35">
      <c r="A129" s="38" t="str">
        <f t="shared" si="11"/>
        <v>Vivienda VISPENSIONADO&gt;=300</v>
      </c>
      <c r="B129" s="39" t="s">
        <v>334</v>
      </c>
      <c r="C129" t="s">
        <v>326</v>
      </c>
      <c r="D129" t="s">
        <v>401</v>
      </c>
      <c r="E129" s="36" t="s">
        <v>322</v>
      </c>
      <c r="F129" s="36" t="s">
        <v>323</v>
      </c>
      <c r="G129" s="36" t="s">
        <v>333</v>
      </c>
      <c r="H129" s="40" t="s">
        <v>328</v>
      </c>
      <c r="I129" s="40" t="str">
        <f t="shared" si="12"/>
        <v>ERROR</v>
      </c>
      <c r="J129" s="40" t="str">
        <f t="shared" si="14"/>
        <v>ERROR</v>
      </c>
      <c r="K129" s="42" t="str">
        <f t="shared" si="13"/>
        <v>ERROR</v>
      </c>
    </row>
    <row r="130" spans="1:11" x14ac:dyDescent="0.35">
      <c r="A130" s="38" t="str">
        <f t="shared" si="11"/>
        <v>Vivienda VISPENSIONADO&gt;=300</v>
      </c>
      <c r="B130" s="39" t="s">
        <v>334</v>
      </c>
      <c r="C130" t="s">
        <v>327</v>
      </c>
      <c r="D130" t="s">
        <v>401</v>
      </c>
      <c r="E130" s="36" t="s">
        <v>322</v>
      </c>
      <c r="F130" s="36" t="s">
        <v>323</v>
      </c>
      <c r="G130" s="36" t="s">
        <v>333</v>
      </c>
      <c r="H130" s="40" t="s">
        <v>328</v>
      </c>
      <c r="I130" s="40" t="str">
        <f t="shared" si="12"/>
        <v>ERROR</v>
      </c>
      <c r="J130" s="40" t="str">
        <f t="shared" si="14"/>
        <v>ERROR</v>
      </c>
      <c r="K130" s="42" t="str">
        <f t="shared" si="13"/>
        <v>ERROR</v>
      </c>
    </row>
    <row r="131" spans="1:11" x14ac:dyDescent="0.35">
      <c r="A131" s="38" t="str">
        <f t="shared" ref="A131:A162" si="15">D131&amp;B131&amp;G131</f>
        <v>ComercialPENSIONADO&gt;=300</v>
      </c>
      <c r="B131" s="39" t="s">
        <v>334</v>
      </c>
      <c r="C131" t="s">
        <v>329</v>
      </c>
      <c r="D131" t="s">
        <v>306</v>
      </c>
      <c r="E131" s="36" t="s">
        <v>322</v>
      </c>
      <c r="F131" s="36" t="s">
        <v>323</v>
      </c>
      <c r="G131" s="36" t="s">
        <v>333</v>
      </c>
      <c r="H131" s="40" t="s">
        <v>328</v>
      </c>
      <c r="I131" s="40" t="str">
        <f t="shared" ref="I131:I162" si="16">+IF(H131="ERROR","ERROR",IF(LEFT(H131,1)="U",CONCATENATE("UVR + ",(RIGHT(H131,6)*1-I$1)*100,"%"),H131-I$1))</f>
        <v>ERROR</v>
      </c>
      <c r="J131" s="40" t="str">
        <f t="shared" si="14"/>
        <v>ERROR</v>
      </c>
      <c r="K131" s="42" t="str">
        <f t="shared" ref="K131:K162" si="17">+IF(J131="ERROR","ERROR",IF(E131="NO VIS",50%,100%))</f>
        <v>ERROR</v>
      </c>
    </row>
    <row r="132" spans="1:11" x14ac:dyDescent="0.35">
      <c r="A132" s="38" t="str">
        <f t="shared" si="15"/>
        <v>Libre InversiónPENSIONADO&gt;=300</v>
      </c>
      <c r="B132" s="39" t="s">
        <v>334</v>
      </c>
      <c r="C132" t="s">
        <v>330</v>
      </c>
      <c r="D132" t="s">
        <v>303</v>
      </c>
      <c r="E132" s="36" t="s">
        <v>322</v>
      </c>
      <c r="F132" s="36" t="s">
        <v>323</v>
      </c>
      <c r="G132" s="36" t="s">
        <v>333</v>
      </c>
      <c r="H132" s="40" t="s">
        <v>328</v>
      </c>
      <c r="I132" s="40" t="str">
        <f t="shared" si="16"/>
        <v>ERROR</v>
      </c>
      <c r="J132" s="40" t="str">
        <f t="shared" si="14"/>
        <v>ERROR</v>
      </c>
      <c r="K132" s="42" t="str">
        <f t="shared" si="17"/>
        <v>ERROR</v>
      </c>
    </row>
    <row r="133" spans="1:11" x14ac:dyDescent="0.35">
      <c r="A133" s="38" t="str">
        <f t="shared" si="15"/>
        <v>Vivienda VISPENSIONADO&gt;=300</v>
      </c>
      <c r="B133" s="39" t="s">
        <v>334</v>
      </c>
      <c r="C133" t="s">
        <v>331</v>
      </c>
      <c r="D133" t="s">
        <v>401</v>
      </c>
      <c r="E133" s="36" t="s">
        <v>322</v>
      </c>
      <c r="F133" s="36" t="s">
        <v>323</v>
      </c>
      <c r="G133" s="36" t="s">
        <v>333</v>
      </c>
      <c r="H133" s="40" t="s">
        <v>328</v>
      </c>
      <c r="I133" s="40" t="str">
        <f t="shared" si="16"/>
        <v>ERROR</v>
      </c>
      <c r="J133" s="40" t="str">
        <f t="shared" si="14"/>
        <v>ERROR</v>
      </c>
      <c r="K133" s="42" t="str">
        <f t="shared" si="17"/>
        <v>ERROR</v>
      </c>
    </row>
    <row r="134" spans="1:11" x14ac:dyDescent="0.35">
      <c r="A134" s="38" t="str">
        <f t="shared" si="15"/>
        <v>NOPENSIONADO&gt;=300</v>
      </c>
      <c r="B134" s="39" t="s">
        <v>334</v>
      </c>
      <c r="C134" t="s">
        <v>332</v>
      </c>
      <c r="D134" t="s">
        <v>413</v>
      </c>
      <c r="E134" s="36" t="s">
        <v>322</v>
      </c>
      <c r="F134" s="36" t="s">
        <v>323</v>
      </c>
      <c r="G134" s="36" t="s">
        <v>333</v>
      </c>
      <c r="H134" s="40" t="s">
        <v>328</v>
      </c>
      <c r="I134" s="40" t="str">
        <f t="shared" si="16"/>
        <v>ERROR</v>
      </c>
      <c r="J134" s="40" t="str">
        <f t="shared" si="14"/>
        <v>ERROR</v>
      </c>
      <c r="K134" s="42" t="str">
        <f t="shared" si="17"/>
        <v>ERROR</v>
      </c>
    </row>
    <row r="135" spans="1:11" x14ac:dyDescent="0.35">
      <c r="A135" s="38" t="str">
        <f t="shared" si="15"/>
        <v>Vivienda VISINDEPENDIENTE&lt;300</v>
      </c>
      <c r="B135" s="39" t="s">
        <v>335</v>
      </c>
      <c r="C135" t="s">
        <v>327</v>
      </c>
      <c r="D135" t="s">
        <v>401</v>
      </c>
      <c r="E135" s="36" t="s">
        <v>322</v>
      </c>
      <c r="F135" s="36" t="s">
        <v>323</v>
      </c>
      <c r="G135" s="36" t="s">
        <v>324</v>
      </c>
      <c r="H135" s="40" t="s">
        <v>328</v>
      </c>
      <c r="I135" s="40" t="str">
        <f t="shared" si="16"/>
        <v>ERROR</v>
      </c>
      <c r="J135" s="40" t="str">
        <f t="shared" si="14"/>
        <v>ERROR</v>
      </c>
      <c r="K135" s="42" t="str">
        <f t="shared" si="17"/>
        <v>ERROR</v>
      </c>
    </row>
    <row r="136" spans="1:11" x14ac:dyDescent="0.35">
      <c r="A136" s="38" t="str">
        <f t="shared" si="15"/>
        <v>ComercialINDEPENDIENTE&lt;300</v>
      </c>
      <c r="B136" s="39" t="s">
        <v>335</v>
      </c>
      <c r="C136" t="s">
        <v>329</v>
      </c>
      <c r="D136" t="s">
        <v>306</v>
      </c>
      <c r="E136" s="36" t="s">
        <v>322</v>
      </c>
      <c r="F136" s="36" t="s">
        <v>323</v>
      </c>
      <c r="G136" s="36" t="s">
        <v>324</v>
      </c>
      <c r="H136" s="40" t="s">
        <v>328</v>
      </c>
      <c r="I136" s="40" t="str">
        <f t="shared" si="16"/>
        <v>ERROR</v>
      </c>
      <c r="J136" s="40" t="str">
        <f t="shared" si="14"/>
        <v>ERROR</v>
      </c>
      <c r="K136" s="42" t="str">
        <f t="shared" si="17"/>
        <v>ERROR</v>
      </c>
    </row>
    <row r="137" spans="1:11" x14ac:dyDescent="0.35">
      <c r="A137" s="38" t="str">
        <f t="shared" si="15"/>
        <v>Libre InversiónINDEPENDIENTE&lt;300</v>
      </c>
      <c r="B137" s="39" t="s">
        <v>335</v>
      </c>
      <c r="C137" t="s">
        <v>330</v>
      </c>
      <c r="D137" t="s">
        <v>303</v>
      </c>
      <c r="E137" s="36" t="s">
        <v>322</v>
      </c>
      <c r="F137" s="36" t="s">
        <v>323</v>
      </c>
      <c r="G137" s="36" t="s">
        <v>324</v>
      </c>
      <c r="H137" s="40" t="s">
        <v>328</v>
      </c>
      <c r="I137" s="40" t="str">
        <f t="shared" si="16"/>
        <v>ERROR</v>
      </c>
      <c r="J137" s="40" t="str">
        <f t="shared" si="14"/>
        <v>ERROR</v>
      </c>
      <c r="K137" s="42" t="str">
        <f t="shared" si="17"/>
        <v>ERROR</v>
      </c>
    </row>
    <row r="138" spans="1:11" x14ac:dyDescent="0.35">
      <c r="A138" s="38" t="str">
        <f t="shared" si="15"/>
        <v>NOINDEPENDIENTE&lt;300</v>
      </c>
      <c r="B138" s="39" t="s">
        <v>335</v>
      </c>
      <c r="C138" t="s">
        <v>332</v>
      </c>
      <c r="D138" t="s">
        <v>413</v>
      </c>
      <c r="E138" s="36" t="s">
        <v>322</v>
      </c>
      <c r="F138" s="36" t="s">
        <v>323</v>
      </c>
      <c r="G138" s="36" t="s">
        <v>324</v>
      </c>
      <c r="H138" s="40" t="s">
        <v>328</v>
      </c>
      <c r="I138" s="40" t="str">
        <f t="shared" si="16"/>
        <v>ERROR</v>
      </c>
      <c r="J138" s="40" t="str">
        <f t="shared" ref="J138:J169" si="18">+IF(I138="ERROR","ERROR",IF(LEFT(I138,1)="U",CONCATENATE("UVR + ",(RIGHT(I138,6)*1-J$1)*100,"%"),I138-J$1))</f>
        <v>ERROR</v>
      </c>
      <c r="K138" s="42" t="str">
        <f t="shared" si="17"/>
        <v>ERROR</v>
      </c>
    </row>
    <row r="139" spans="1:11" x14ac:dyDescent="0.35">
      <c r="A139" s="38" t="str">
        <f t="shared" si="15"/>
        <v>Vivienda VISINDEPENDIENTE&gt;=300</v>
      </c>
      <c r="B139" s="39" t="s">
        <v>335</v>
      </c>
      <c r="C139" t="s">
        <v>321</v>
      </c>
      <c r="D139" t="s">
        <v>401</v>
      </c>
      <c r="E139" s="36" t="s">
        <v>322</v>
      </c>
      <c r="F139" s="36" t="s">
        <v>323</v>
      </c>
      <c r="G139" s="36" t="s">
        <v>333</v>
      </c>
      <c r="H139" s="40" t="s">
        <v>328</v>
      </c>
      <c r="I139" s="40" t="str">
        <f t="shared" si="16"/>
        <v>ERROR</v>
      </c>
      <c r="J139" s="40" t="str">
        <f t="shared" si="18"/>
        <v>ERROR</v>
      </c>
      <c r="K139" s="42" t="str">
        <f t="shared" si="17"/>
        <v>ERROR</v>
      </c>
    </row>
    <row r="140" spans="1:11" x14ac:dyDescent="0.35">
      <c r="A140" s="38" t="str">
        <f t="shared" si="15"/>
        <v>Vivienda VISINDEPENDIENTE&gt;=300</v>
      </c>
      <c r="B140" s="39" t="s">
        <v>335</v>
      </c>
      <c r="C140" t="s">
        <v>325</v>
      </c>
      <c r="D140" t="s">
        <v>401</v>
      </c>
      <c r="E140" s="36" t="s">
        <v>322</v>
      </c>
      <c r="F140" s="36" t="s">
        <v>323</v>
      </c>
      <c r="G140" s="36" t="s">
        <v>333</v>
      </c>
      <c r="H140" s="40" t="s">
        <v>328</v>
      </c>
      <c r="I140" s="40" t="str">
        <f t="shared" si="16"/>
        <v>ERROR</v>
      </c>
      <c r="J140" s="40" t="str">
        <f t="shared" si="18"/>
        <v>ERROR</v>
      </c>
      <c r="K140" s="42" t="str">
        <f t="shared" si="17"/>
        <v>ERROR</v>
      </c>
    </row>
    <row r="141" spans="1:11" x14ac:dyDescent="0.35">
      <c r="A141" s="38" t="str">
        <f t="shared" si="15"/>
        <v>Vivienda VISINDEPENDIENTE&gt;=300</v>
      </c>
      <c r="B141" s="39" t="s">
        <v>335</v>
      </c>
      <c r="C141" t="s">
        <v>326</v>
      </c>
      <c r="D141" t="s">
        <v>401</v>
      </c>
      <c r="E141" s="36" t="s">
        <v>322</v>
      </c>
      <c r="F141" s="36" t="s">
        <v>323</v>
      </c>
      <c r="G141" s="36" t="s">
        <v>333</v>
      </c>
      <c r="H141" s="40" t="s">
        <v>328</v>
      </c>
      <c r="I141" s="40" t="str">
        <f t="shared" si="16"/>
        <v>ERROR</v>
      </c>
      <c r="J141" s="40" t="str">
        <f t="shared" si="18"/>
        <v>ERROR</v>
      </c>
      <c r="K141" s="42" t="str">
        <f t="shared" si="17"/>
        <v>ERROR</v>
      </c>
    </row>
    <row r="142" spans="1:11" x14ac:dyDescent="0.35">
      <c r="A142" s="38" t="str">
        <f t="shared" si="15"/>
        <v>Vivienda VISINDEPENDIENTE&gt;=300</v>
      </c>
      <c r="B142" s="39" t="s">
        <v>335</v>
      </c>
      <c r="C142" t="s">
        <v>327</v>
      </c>
      <c r="D142" t="s">
        <v>401</v>
      </c>
      <c r="E142" s="36" t="s">
        <v>322</v>
      </c>
      <c r="F142" s="36" t="s">
        <v>323</v>
      </c>
      <c r="G142" s="36" t="s">
        <v>333</v>
      </c>
      <c r="H142" s="40" t="s">
        <v>328</v>
      </c>
      <c r="I142" s="40" t="str">
        <f t="shared" si="16"/>
        <v>ERROR</v>
      </c>
      <c r="J142" s="40" t="str">
        <f t="shared" si="18"/>
        <v>ERROR</v>
      </c>
      <c r="K142" s="42" t="str">
        <f t="shared" si="17"/>
        <v>ERROR</v>
      </c>
    </row>
    <row r="143" spans="1:11" x14ac:dyDescent="0.35">
      <c r="A143" s="38" t="str">
        <f t="shared" si="15"/>
        <v>ComercialINDEPENDIENTE&gt;=300</v>
      </c>
      <c r="B143" s="39" t="s">
        <v>335</v>
      </c>
      <c r="C143" t="s">
        <v>329</v>
      </c>
      <c r="D143" t="s">
        <v>306</v>
      </c>
      <c r="E143" s="36" t="s">
        <v>322</v>
      </c>
      <c r="F143" s="36" t="s">
        <v>323</v>
      </c>
      <c r="G143" s="36" t="s">
        <v>333</v>
      </c>
      <c r="H143" s="40" t="s">
        <v>328</v>
      </c>
      <c r="I143" s="40" t="str">
        <f t="shared" si="16"/>
        <v>ERROR</v>
      </c>
      <c r="J143" s="40" t="str">
        <f t="shared" si="18"/>
        <v>ERROR</v>
      </c>
      <c r="K143" s="42" t="str">
        <f t="shared" si="17"/>
        <v>ERROR</v>
      </c>
    </row>
    <row r="144" spans="1:11" x14ac:dyDescent="0.35">
      <c r="A144" s="38" t="str">
        <f t="shared" si="15"/>
        <v>Libre InversiónINDEPENDIENTE&gt;=300</v>
      </c>
      <c r="B144" s="39" t="s">
        <v>335</v>
      </c>
      <c r="C144" t="s">
        <v>330</v>
      </c>
      <c r="D144" t="s">
        <v>303</v>
      </c>
      <c r="E144" s="36" t="s">
        <v>322</v>
      </c>
      <c r="F144" s="36" t="s">
        <v>323</v>
      </c>
      <c r="G144" s="36" t="s">
        <v>333</v>
      </c>
      <c r="H144" s="40" t="s">
        <v>328</v>
      </c>
      <c r="I144" s="40" t="str">
        <f t="shared" si="16"/>
        <v>ERROR</v>
      </c>
      <c r="J144" s="40" t="str">
        <f t="shared" si="18"/>
        <v>ERROR</v>
      </c>
      <c r="K144" s="42" t="str">
        <f t="shared" si="17"/>
        <v>ERROR</v>
      </c>
    </row>
    <row r="145" spans="1:11" x14ac:dyDescent="0.35">
      <c r="A145" s="38" t="str">
        <f t="shared" si="15"/>
        <v>Vivienda VISINDEPENDIENTE&gt;=300</v>
      </c>
      <c r="B145" s="39" t="s">
        <v>335</v>
      </c>
      <c r="C145" t="s">
        <v>331</v>
      </c>
      <c r="D145" t="s">
        <v>401</v>
      </c>
      <c r="E145" s="36" t="s">
        <v>322</v>
      </c>
      <c r="F145" s="36" t="s">
        <v>323</v>
      </c>
      <c r="G145" s="36" t="s">
        <v>333</v>
      </c>
      <c r="H145" s="40" t="s">
        <v>328</v>
      </c>
      <c r="I145" s="40" t="str">
        <f t="shared" si="16"/>
        <v>ERROR</v>
      </c>
      <c r="J145" s="40" t="str">
        <f t="shared" si="18"/>
        <v>ERROR</v>
      </c>
      <c r="K145" s="42" t="str">
        <f t="shared" si="17"/>
        <v>ERROR</v>
      </c>
    </row>
    <row r="146" spans="1:11" x14ac:dyDescent="0.35">
      <c r="A146" s="38" t="str">
        <f t="shared" si="15"/>
        <v>NOINDEPENDIENTE&gt;=300</v>
      </c>
      <c r="B146" s="39" t="s">
        <v>335</v>
      </c>
      <c r="C146" t="s">
        <v>332</v>
      </c>
      <c r="D146" t="s">
        <v>413</v>
      </c>
      <c r="E146" s="36" t="s">
        <v>322</v>
      </c>
      <c r="F146" s="36" t="s">
        <v>323</v>
      </c>
      <c r="G146" s="36" t="s">
        <v>333</v>
      </c>
      <c r="H146" s="40" t="s">
        <v>328</v>
      </c>
      <c r="I146" s="40" t="str">
        <f t="shared" si="16"/>
        <v>ERROR</v>
      </c>
      <c r="J146" s="40" t="str">
        <f t="shared" si="18"/>
        <v>ERROR</v>
      </c>
      <c r="K146" s="42" t="str">
        <f t="shared" si="17"/>
        <v>ERROR</v>
      </c>
    </row>
    <row r="147" spans="1:11" x14ac:dyDescent="0.35">
      <c r="A147" s="38" t="str">
        <f t="shared" si="15"/>
        <v>Vivienda VISASALARIADO&lt;300</v>
      </c>
      <c r="B147" s="39" t="s">
        <v>320</v>
      </c>
      <c r="C147" t="s">
        <v>327</v>
      </c>
      <c r="D147" t="s">
        <v>401</v>
      </c>
      <c r="E147" s="36" t="s">
        <v>322</v>
      </c>
      <c r="F147" s="36" t="s">
        <v>336</v>
      </c>
      <c r="G147" s="36" t="s">
        <v>324</v>
      </c>
      <c r="H147" s="40" t="s">
        <v>328</v>
      </c>
      <c r="I147" s="40" t="str">
        <f t="shared" si="16"/>
        <v>ERROR</v>
      </c>
      <c r="J147" s="40" t="str">
        <f t="shared" si="18"/>
        <v>ERROR</v>
      </c>
      <c r="K147" s="42" t="str">
        <f t="shared" si="17"/>
        <v>ERROR</v>
      </c>
    </row>
    <row r="148" spans="1:11" x14ac:dyDescent="0.35">
      <c r="A148" s="38" t="str">
        <f t="shared" si="15"/>
        <v>ComercialASALARIADO&lt;300</v>
      </c>
      <c r="B148" s="39" t="s">
        <v>320</v>
      </c>
      <c r="C148" t="s">
        <v>329</v>
      </c>
      <c r="D148" t="s">
        <v>306</v>
      </c>
      <c r="E148" s="36" t="s">
        <v>322</v>
      </c>
      <c r="F148" s="36" t="s">
        <v>336</v>
      </c>
      <c r="G148" s="36" t="s">
        <v>324</v>
      </c>
      <c r="H148" s="40" t="s">
        <v>328</v>
      </c>
      <c r="I148" s="40" t="str">
        <f t="shared" si="16"/>
        <v>ERROR</v>
      </c>
      <c r="J148" s="40" t="str">
        <f t="shared" si="18"/>
        <v>ERROR</v>
      </c>
      <c r="K148" s="42" t="str">
        <f t="shared" si="17"/>
        <v>ERROR</v>
      </c>
    </row>
    <row r="149" spans="1:11" x14ac:dyDescent="0.35">
      <c r="A149" s="38" t="str">
        <f t="shared" si="15"/>
        <v>Libre InversiónASALARIADO&lt;300</v>
      </c>
      <c r="B149" s="39" t="s">
        <v>320</v>
      </c>
      <c r="C149" t="s">
        <v>330</v>
      </c>
      <c r="D149" t="s">
        <v>303</v>
      </c>
      <c r="E149" s="36" t="s">
        <v>322</v>
      </c>
      <c r="F149" s="36" t="s">
        <v>336</v>
      </c>
      <c r="G149" s="36" t="s">
        <v>324</v>
      </c>
      <c r="H149" s="40" t="s">
        <v>328</v>
      </c>
      <c r="I149" s="40" t="str">
        <f t="shared" si="16"/>
        <v>ERROR</v>
      </c>
      <c r="J149" s="40" t="str">
        <f t="shared" si="18"/>
        <v>ERROR</v>
      </c>
      <c r="K149" s="42" t="str">
        <f t="shared" si="17"/>
        <v>ERROR</v>
      </c>
    </row>
    <row r="150" spans="1:11" x14ac:dyDescent="0.35">
      <c r="A150" s="38" t="str">
        <f t="shared" si="15"/>
        <v>NOASALARIADO&lt;300</v>
      </c>
      <c r="B150" s="39" t="s">
        <v>320</v>
      </c>
      <c r="C150" t="s">
        <v>332</v>
      </c>
      <c r="D150" t="s">
        <v>413</v>
      </c>
      <c r="E150" s="36" t="s">
        <v>322</v>
      </c>
      <c r="F150" s="36" t="s">
        <v>336</v>
      </c>
      <c r="G150" s="36" t="s">
        <v>324</v>
      </c>
      <c r="H150" s="40" t="s">
        <v>328</v>
      </c>
      <c r="I150" s="40" t="str">
        <f t="shared" si="16"/>
        <v>ERROR</v>
      </c>
      <c r="J150" s="40" t="str">
        <f t="shared" si="18"/>
        <v>ERROR</v>
      </c>
      <c r="K150" s="42" t="str">
        <f t="shared" si="17"/>
        <v>ERROR</v>
      </c>
    </row>
    <row r="151" spans="1:11" x14ac:dyDescent="0.35">
      <c r="A151" s="38" t="str">
        <f t="shared" si="15"/>
        <v>Vivienda VISASALARIADO&gt;=300</v>
      </c>
      <c r="B151" s="39" t="s">
        <v>320</v>
      </c>
      <c r="C151" t="s">
        <v>321</v>
      </c>
      <c r="D151" t="s">
        <v>401</v>
      </c>
      <c r="E151" s="36" t="s">
        <v>322</v>
      </c>
      <c r="F151" s="36" t="s">
        <v>336</v>
      </c>
      <c r="G151" s="36" t="s">
        <v>333</v>
      </c>
      <c r="H151" s="40" t="s">
        <v>328</v>
      </c>
      <c r="I151" s="40" t="str">
        <f t="shared" si="16"/>
        <v>ERROR</v>
      </c>
      <c r="J151" s="40" t="str">
        <f t="shared" si="18"/>
        <v>ERROR</v>
      </c>
      <c r="K151" s="42" t="str">
        <f t="shared" si="17"/>
        <v>ERROR</v>
      </c>
    </row>
    <row r="152" spans="1:11" x14ac:dyDescent="0.35">
      <c r="A152" s="38" t="str">
        <f t="shared" si="15"/>
        <v>Vivienda VISASALARIADO&gt;=300</v>
      </c>
      <c r="B152" s="39" t="s">
        <v>320</v>
      </c>
      <c r="C152" t="s">
        <v>325</v>
      </c>
      <c r="D152" t="s">
        <v>401</v>
      </c>
      <c r="E152" s="36" t="s">
        <v>322</v>
      </c>
      <c r="F152" s="36" t="s">
        <v>336</v>
      </c>
      <c r="G152" s="36" t="s">
        <v>333</v>
      </c>
      <c r="H152" s="40" t="s">
        <v>328</v>
      </c>
      <c r="I152" s="40" t="str">
        <f t="shared" si="16"/>
        <v>ERROR</v>
      </c>
      <c r="J152" s="40" t="str">
        <f t="shared" si="18"/>
        <v>ERROR</v>
      </c>
      <c r="K152" s="42" t="str">
        <f t="shared" si="17"/>
        <v>ERROR</v>
      </c>
    </row>
    <row r="153" spans="1:11" x14ac:dyDescent="0.35">
      <c r="A153" s="38" t="str">
        <f t="shared" si="15"/>
        <v>Vivienda VISASALARIADO&gt;=300</v>
      </c>
      <c r="B153" s="39" t="s">
        <v>320</v>
      </c>
      <c r="C153" t="s">
        <v>326</v>
      </c>
      <c r="D153" t="s">
        <v>401</v>
      </c>
      <c r="E153" s="36" t="s">
        <v>322</v>
      </c>
      <c r="F153" s="36" t="s">
        <v>336</v>
      </c>
      <c r="G153" s="36" t="s">
        <v>333</v>
      </c>
      <c r="H153" s="40" t="s">
        <v>328</v>
      </c>
      <c r="I153" s="40" t="str">
        <f t="shared" si="16"/>
        <v>ERROR</v>
      </c>
      <c r="J153" s="40" t="str">
        <f t="shared" si="18"/>
        <v>ERROR</v>
      </c>
      <c r="K153" s="42" t="str">
        <f t="shared" si="17"/>
        <v>ERROR</v>
      </c>
    </row>
    <row r="154" spans="1:11" x14ac:dyDescent="0.35">
      <c r="A154" s="38" t="str">
        <f t="shared" si="15"/>
        <v>Vivienda VISASALARIADO&gt;=300</v>
      </c>
      <c r="B154" s="39" t="s">
        <v>320</v>
      </c>
      <c r="C154" t="s">
        <v>327</v>
      </c>
      <c r="D154" t="s">
        <v>401</v>
      </c>
      <c r="E154" s="36" t="s">
        <v>322</v>
      </c>
      <c r="F154" s="36" t="s">
        <v>336</v>
      </c>
      <c r="G154" s="36" t="s">
        <v>333</v>
      </c>
      <c r="H154" s="40" t="s">
        <v>328</v>
      </c>
      <c r="I154" s="40" t="str">
        <f t="shared" si="16"/>
        <v>ERROR</v>
      </c>
      <c r="J154" s="40" t="str">
        <f t="shared" si="18"/>
        <v>ERROR</v>
      </c>
      <c r="K154" s="42" t="str">
        <f t="shared" si="17"/>
        <v>ERROR</v>
      </c>
    </row>
    <row r="155" spans="1:11" x14ac:dyDescent="0.35">
      <c r="A155" s="38" t="str">
        <f t="shared" si="15"/>
        <v>ComercialASALARIADO&gt;=300</v>
      </c>
      <c r="B155" s="39" t="s">
        <v>320</v>
      </c>
      <c r="C155" t="s">
        <v>329</v>
      </c>
      <c r="D155" t="s">
        <v>306</v>
      </c>
      <c r="E155" s="36" t="s">
        <v>322</v>
      </c>
      <c r="F155" s="36" t="s">
        <v>336</v>
      </c>
      <c r="G155" s="36" t="s">
        <v>333</v>
      </c>
      <c r="H155" s="40" t="s">
        <v>328</v>
      </c>
      <c r="I155" s="40" t="str">
        <f t="shared" si="16"/>
        <v>ERROR</v>
      </c>
      <c r="J155" s="40" t="str">
        <f t="shared" si="18"/>
        <v>ERROR</v>
      </c>
      <c r="K155" s="42" t="str">
        <f t="shared" si="17"/>
        <v>ERROR</v>
      </c>
    </row>
    <row r="156" spans="1:11" x14ac:dyDescent="0.35">
      <c r="A156" s="38" t="str">
        <f t="shared" si="15"/>
        <v>Libre InversiónASALARIADO&gt;=300</v>
      </c>
      <c r="B156" s="39" t="s">
        <v>320</v>
      </c>
      <c r="C156" t="s">
        <v>330</v>
      </c>
      <c r="D156" t="s">
        <v>303</v>
      </c>
      <c r="E156" s="36" t="s">
        <v>322</v>
      </c>
      <c r="F156" s="36" t="s">
        <v>336</v>
      </c>
      <c r="G156" s="36" t="s">
        <v>333</v>
      </c>
      <c r="H156" s="40" t="s">
        <v>328</v>
      </c>
      <c r="I156" s="40" t="str">
        <f t="shared" si="16"/>
        <v>ERROR</v>
      </c>
      <c r="J156" s="40" t="str">
        <f t="shared" si="18"/>
        <v>ERROR</v>
      </c>
      <c r="K156" s="42" t="str">
        <f t="shared" si="17"/>
        <v>ERROR</v>
      </c>
    </row>
    <row r="157" spans="1:11" x14ac:dyDescent="0.35">
      <c r="A157" s="38" t="str">
        <f t="shared" si="15"/>
        <v>Vivienda VISASALARIADO&gt;=300</v>
      </c>
      <c r="B157" s="39" t="s">
        <v>320</v>
      </c>
      <c r="C157" t="s">
        <v>331</v>
      </c>
      <c r="D157" t="s">
        <v>401</v>
      </c>
      <c r="E157" s="36" t="s">
        <v>322</v>
      </c>
      <c r="F157" s="36" t="s">
        <v>336</v>
      </c>
      <c r="G157" s="36" t="s">
        <v>333</v>
      </c>
      <c r="H157" s="40" t="s">
        <v>328</v>
      </c>
      <c r="I157" s="40" t="str">
        <f t="shared" si="16"/>
        <v>ERROR</v>
      </c>
      <c r="J157" s="40" t="str">
        <f t="shared" si="18"/>
        <v>ERROR</v>
      </c>
      <c r="K157" s="42" t="str">
        <f t="shared" si="17"/>
        <v>ERROR</v>
      </c>
    </row>
    <row r="158" spans="1:11" x14ac:dyDescent="0.35">
      <c r="A158" s="38" t="str">
        <f t="shared" si="15"/>
        <v>NOASALARIADO&gt;=300</v>
      </c>
      <c r="B158" s="39" t="s">
        <v>320</v>
      </c>
      <c r="C158" t="s">
        <v>332</v>
      </c>
      <c r="D158" t="s">
        <v>413</v>
      </c>
      <c r="E158" s="36" t="s">
        <v>322</v>
      </c>
      <c r="F158" s="36" t="s">
        <v>336</v>
      </c>
      <c r="G158" s="36" t="s">
        <v>333</v>
      </c>
      <c r="H158" s="40" t="s">
        <v>328</v>
      </c>
      <c r="I158" s="40" t="str">
        <f t="shared" si="16"/>
        <v>ERROR</v>
      </c>
      <c r="J158" s="40" t="str">
        <f t="shared" si="18"/>
        <v>ERROR</v>
      </c>
      <c r="K158" s="42" t="str">
        <f t="shared" si="17"/>
        <v>ERROR</v>
      </c>
    </row>
    <row r="159" spans="1:11" x14ac:dyDescent="0.35">
      <c r="A159" s="38" t="str">
        <f t="shared" si="15"/>
        <v>Vivienda VISPENSIONADO&lt;300</v>
      </c>
      <c r="B159" s="39" t="s">
        <v>334</v>
      </c>
      <c r="C159" t="s">
        <v>327</v>
      </c>
      <c r="D159" t="s">
        <v>401</v>
      </c>
      <c r="E159" s="36" t="s">
        <v>322</v>
      </c>
      <c r="F159" s="36" t="s">
        <v>336</v>
      </c>
      <c r="G159" s="36" t="s">
        <v>324</v>
      </c>
      <c r="H159" s="40" t="s">
        <v>328</v>
      </c>
      <c r="I159" s="40" t="str">
        <f t="shared" si="16"/>
        <v>ERROR</v>
      </c>
      <c r="J159" s="40" t="str">
        <f t="shared" si="18"/>
        <v>ERROR</v>
      </c>
      <c r="K159" s="42" t="str">
        <f t="shared" si="17"/>
        <v>ERROR</v>
      </c>
    </row>
    <row r="160" spans="1:11" x14ac:dyDescent="0.35">
      <c r="A160" s="38" t="str">
        <f t="shared" si="15"/>
        <v>ComercialPENSIONADO&lt;300</v>
      </c>
      <c r="B160" s="39" t="s">
        <v>334</v>
      </c>
      <c r="C160" t="s">
        <v>329</v>
      </c>
      <c r="D160" t="s">
        <v>306</v>
      </c>
      <c r="E160" s="36" t="s">
        <v>322</v>
      </c>
      <c r="F160" s="36" t="s">
        <v>336</v>
      </c>
      <c r="G160" s="36" t="s">
        <v>324</v>
      </c>
      <c r="H160" s="40" t="s">
        <v>328</v>
      </c>
      <c r="I160" s="40" t="str">
        <f t="shared" si="16"/>
        <v>ERROR</v>
      </c>
      <c r="J160" s="40" t="str">
        <f t="shared" si="18"/>
        <v>ERROR</v>
      </c>
      <c r="K160" s="42" t="str">
        <f t="shared" si="17"/>
        <v>ERROR</v>
      </c>
    </row>
    <row r="161" spans="1:11" x14ac:dyDescent="0.35">
      <c r="A161" s="38" t="str">
        <f t="shared" si="15"/>
        <v>Libre InversiónPENSIONADO&lt;300</v>
      </c>
      <c r="B161" s="39" t="s">
        <v>334</v>
      </c>
      <c r="C161" t="s">
        <v>330</v>
      </c>
      <c r="D161" t="s">
        <v>303</v>
      </c>
      <c r="E161" s="36" t="s">
        <v>322</v>
      </c>
      <c r="F161" s="36" t="s">
        <v>336</v>
      </c>
      <c r="G161" s="36" t="s">
        <v>324</v>
      </c>
      <c r="H161" s="40" t="s">
        <v>328</v>
      </c>
      <c r="I161" s="40" t="str">
        <f t="shared" si="16"/>
        <v>ERROR</v>
      </c>
      <c r="J161" s="40" t="str">
        <f t="shared" si="18"/>
        <v>ERROR</v>
      </c>
      <c r="K161" s="42" t="str">
        <f t="shared" si="17"/>
        <v>ERROR</v>
      </c>
    </row>
    <row r="162" spans="1:11" x14ac:dyDescent="0.35">
      <c r="A162" s="38" t="str">
        <f t="shared" si="15"/>
        <v>NOPENSIONADO&lt;300</v>
      </c>
      <c r="B162" s="39" t="s">
        <v>334</v>
      </c>
      <c r="C162" t="s">
        <v>332</v>
      </c>
      <c r="D162" t="s">
        <v>413</v>
      </c>
      <c r="E162" s="36" t="s">
        <v>322</v>
      </c>
      <c r="F162" s="36" t="s">
        <v>336</v>
      </c>
      <c r="G162" s="36" t="s">
        <v>324</v>
      </c>
      <c r="H162" s="40" t="s">
        <v>328</v>
      </c>
      <c r="I162" s="40" t="str">
        <f t="shared" si="16"/>
        <v>ERROR</v>
      </c>
      <c r="J162" s="40" t="str">
        <f t="shared" si="18"/>
        <v>ERROR</v>
      </c>
      <c r="K162" s="42" t="str">
        <f t="shared" si="17"/>
        <v>ERROR</v>
      </c>
    </row>
    <row r="163" spans="1:11" x14ac:dyDescent="0.35">
      <c r="A163" s="38" t="str">
        <f t="shared" ref="A163:A194" si="19">D163&amp;B163&amp;G163</f>
        <v>Vivienda VISPENSIONADO&gt;=300</v>
      </c>
      <c r="B163" s="39" t="s">
        <v>334</v>
      </c>
      <c r="C163" t="s">
        <v>321</v>
      </c>
      <c r="D163" t="s">
        <v>401</v>
      </c>
      <c r="E163" s="36" t="s">
        <v>322</v>
      </c>
      <c r="F163" s="36" t="s">
        <v>336</v>
      </c>
      <c r="G163" s="36" t="s">
        <v>333</v>
      </c>
      <c r="H163" s="40" t="s">
        <v>328</v>
      </c>
      <c r="I163" s="40" t="str">
        <f t="shared" ref="I163:I194" si="20">+IF(H163="ERROR","ERROR",IF(LEFT(H163,1)="U",CONCATENATE("UVR + ",(RIGHT(H163,6)*1-I$1)*100,"%"),H163-I$1))</f>
        <v>ERROR</v>
      </c>
      <c r="J163" s="40" t="str">
        <f t="shared" si="18"/>
        <v>ERROR</v>
      </c>
      <c r="K163" s="42" t="str">
        <f t="shared" ref="K163:K194" si="21">+IF(J163="ERROR","ERROR",IF(E163="NO VIS",50%,100%))</f>
        <v>ERROR</v>
      </c>
    </row>
    <row r="164" spans="1:11" x14ac:dyDescent="0.35">
      <c r="A164" s="38" t="str">
        <f t="shared" si="19"/>
        <v>Vivienda VISPENSIONADO&gt;=300</v>
      </c>
      <c r="B164" s="39" t="s">
        <v>334</v>
      </c>
      <c r="C164" t="s">
        <v>325</v>
      </c>
      <c r="D164" t="s">
        <v>401</v>
      </c>
      <c r="E164" s="36" t="s">
        <v>322</v>
      </c>
      <c r="F164" s="36" t="s">
        <v>336</v>
      </c>
      <c r="G164" s="36" t="s">
        <v>333</v>
      </c>
      <c r="H164" s="40" t="s">
        <v>328</v>
      </c>
      <c r="I164" s="40" t="str">
        <f t="shared" si="20"/>
        <v>ERROR</v>
      </c>
      <c r="J164" s="40" t="str">
        <f t="shared" si="18"/>
        <v>ERROR</v>
      </c>
      <c r="K164" s="42" t="str">
        <f t="shared" si="21"/>
        <v>ERROR</v>
      </c>
    </row>
    <row r="165" spans="1:11" x14ac:dyDescent="0.35">
      <c r="A165" s="38" t="str">
        <f t="shared" si="19"/>
        <v>Vivienda VISPENSIONADO&gt;=300</v>
      </c>
      <c r="B165" s="39" t="s">
        <v>334</v>
      </c>
      <c r="C165" t="s">
        <v>326</v>
      </c>
      <c r="D165" t="s">
        <v>401</v>
      </c>
      <c r="E165" s="36" t="s">
        <v>322</v>
      </c>
      <c r="F165" s="36" t="s">
        <v>336</v>
      </c>
      <c r="G165" s="36" t="s">
        <v>333</v>
      </c>
      <c r="H165" s="40" t="s">
        <v>328</v>
      </c>
      <c r="I165" s="40" t="str">
        <f t="shared" si="20"/>
        <v>ERROR</v>
      </c>
      <c r="J165" s="40" t="str">
        <f t="shared" si="18"/>
        <v>ERROR</v>
      </c>
      <c r="K165" s="42" t="str">
        <f t="shared" si="21"/>
        <v>ERROR</v>
      </c>
    </row>
    <row r="166" spans="1:11" x14ac:dyDescent="0.35">
      <c r="A166" s="38" t="str">
        <f t="shared" si="19"/>
        <v>Vivienda VISPENSIONADO&gt;=300</v>
      </c>
      <c r="B166" s="39" t="s">
        <v>334</v>
      </c>
      <c r="C166" t="s">
        <v>327</v>
      </c>
      <c r="D166" t="s">
        <v>401</v>
      </c>
      <c r="E166" s="36" t="s">
        <v>322</v>
      </c>
      <c r="F166" s="36" t="s">
        <v>336</v>
      </c>
      <c r="G166" s="36" t="s">
        <v>333</v>
      </c>
      <c r="H166" s="40" t="s">
        <v>328</v>
      </c>
      <c r="I166" s="40" t="str">
        <f t="shared" si="20"/>
        <v>ERROR</v>
      </c>
      <c r="J166" s="40" t="str">
        <f t="shared" si="18"/>
        <v>ERROR</v>
      </c>
      <c r="K166" s="42" t="str">
        <f t="shared" si="21"/>
        <v>ERROR</v>
      </c>
    </row>
    <row r="167" spans="1:11" x14ac:dyDescent="0.35">
      <c r="A167" s="38" t="str">
        <f t="shared" si="19"/>
        <v>ComercialPENSIONADO&gt;=300</v>
      </c>
      <c r="B167" s="39" t="s">
        <v>334</v>
      </c>
      <c r="C167" t="s">
        <v>329</v>
      </c>
      <c r="D167" t="s">
        <v>306</v>
      </c>
      <c r="E167" s="36" t="s">
        <v>322</v>
      </c>
      <c r="F167" s="36" t="s">
        <v>336</v>
      </c>
      <c r="G167" s="36" t="s">
        <v>333</v>
      </c>
      <c r="H167" s="40" t="s">
        <v>328</v>
      </c>
      <c r="I167" s="40" t="str">
        <f t="shared" si="20"/>
        <v>ERROR</v>
      </c>
      <c r="J167" s="40" t="str">
        <f t="shared" si="18"/>
        <v>ERROR</v>
      </c>
      <c r="K167" s="42" t="str">
        <f t="shared" si="21"/>
        <v>ERROR</v>
      </c>
    </row>
    <row r="168" spans="1:11" x14ac:dyDescent="0.35">
      <c r="A168" s="38" t="str">
        <f t="shared" si="19"/>
        <v>Libre InversiónPENSIONADO&gt;=300</v>
      </c>
      <c r="B168" s="39" t="s">
        <v>334</v>
      </c>
      <c r="C168" t="s">
        <v>330</v>
      </c>
      <c r="D168" t="s">
        <v>303</v>
      </c>
      <c r="E168" s="36" t="s">
        <v>322</v>
      </c>
      <c r="F168" s="36" t="s">
        <v>336</v>
      </c>
      <c r="G168" s="36" t="s">
        <v>333</v>
      </c>
      <c r="H168" s="40" t="s">
        <v>328</v>
      </c>
      <c r="I168" s="40" t="str">
        <f t="shared" si="20"/>
        <v>ERROR</v>
      </c>
      <c r="J168" s="40" t="str">
        <f t="shared" si="18"/>
        <v>ERROR</v>
      </c>
      <c r="K168" s="42" t="str">
        <f t="shared" si="21"/>
        <v>ERROR</v>
      </c>
    </row>
    <row r="169" spans="1:11" x14ac:dyDescent="0.35">
      <c r="A169" s="38" t="str">
        <f t="shared" si="19"/>
        <v>Vivienda VISPENSIONADO&gt;=300</v>
      </c>
      <c r="B169" s="39" t="s">
        <v>334</v>
      </c>
      <c r="C169" t="s">
        <v>331</v>
      </c>
      <c r="D169" t="s">
        <v>401</v>
      </c>
      <c r="E169" s="36" t="s">
        <v>322</v>
      </c>
      <c r="F169" s="36" t="s">
        <v>336</v>
      </c>
      <c r="G169" s="36" t="s">
        <v>333</v>
      </c>
      <c r="H169" s="40" t="s">
        <v>328</v>
      </c>
      <c r="I169" s="40" t="str">
        <f t="shared" si="20"/>
        <v>ERROR</v>
      </c>
      <c r="J169" s="40" t="str">
        <f t="shared" si="18"/>
        <v>ERROR</v>
      </c>
      <c r="K169" s="42" t="str">
        <f t="shared" si="21"/>
        <v>ERROR</v>
      </c>
    </row>
    <row r="170" spans="1:11" x14ac:dyDescent="0.35">
      <c r="A170" s="38" t="str">
        <f t="shared" si="19"/>
        <v>NOPENSIONADO&gt;=300</v>
      </c>
      <c r="B170" s="39" t="s">
        <v>334</v>
      </c>
      <c r="C170" t="s">
        <v>332</v>
      </c>
      <c r="D170" t="s">
        <v>413</v>
      </c>
      <c r="E170" s="36" t="s">
        <v>322</v>
      </c>
      <c r="F170" s="36" t="s">
        <v>336</v>
      </c>
      <c r="G170" s="36" t="s">
        <v>333</v>
      </c>
      <c r="H170" s="40" t="s">
        <v>328</v>
      </c>
      <c r="I170" s="40" t="str">
        <f t="shared" si="20"/>
        <v>ERROR</v>
      </c>
      <c r="J170" s="40" t="str">
        <f t="shared" ref="J170:J194" si="22">+IF(I170="ERROR","ERROR",IF(LEFT(I170,1)="U",CONCATENATE("UVR + ",(RIGHT(I170,6)*1-J$1)*100,"%"),I170-J$1))</f>
        <v>ERROR</v>
      </c>
      <c r="K170" s="42" t="str">
        <f t="shared" si="21"/>
        <v>ERROR</v>
      </c>
    </row>
    <row r="171" spans="1:11" x14ac:dyDescent="0.35">
      <c r="A171" s="38" t="str">
        <f t="shared" si="19"/>
        <v>Vivienda VISINDEPENDIENTE&lt;300</v>
      </c>
      <c r="B171" s="39" t="s">
        <v>335</v>
      </c>
      <c r="C171" t="s">
        <v>327</v>
      </c>
      <c r="D171" t="s">
        <v>401</v>
      </c>
      <c r="E171" s="36" t="s">
        <v>322</v>
      </c>
      <c r="F171" s="36" t="s">
        <v>336</v>
      </c>
      <c r="G171" s="36" t="s">
        <v>324</v>
      </c>
      <c r="H171" s="40" t="s">
        <v>328</v>
      </c>
      <c r="I171" s="40" t="str">
        <f t="shared" si="20"/>
        <v>ERROR</v>
      </c>
      <c r="J171" s="40" t="str">
        <f t="shared" si="22"/>
        <v>ERROR</v>
      </c>
      <c r="K171" s="42" t="str">
        <f t="shared" si="21"/>
        <v>ERROR</v>
      </c>
    </row>
    <row r="172" spans="1:11" x14ac:dyDescent="0.35">
      <c r="A172" s="38" t="str">
        <f t="shared" si="19"/>
        <v>ComercialINDEPENDIENTE&lt;300</v>
      </c>
      <c r="B172" s="39" t="s">
        <v>335</v>
      </c>
      <c r="C172" t="s">
        <v>329</v>
      </c>
      <c r="D172" t="s">
        <v>306</v>
      </c>
      <c r="E172" s="36" t="s">
        <v>322</v>
      </c>
      <c r="F172" s="36" t="s">
        <v>336</v>
      </c>
      <c r="G172" s="36" t="s">
        <v>324</v>
      </c>
      <c r="H172" s="40" t="s">
        <v>328</v>
      </c>
      <c r="I172" s="40" t="str">
        <f t="shared" si="20"/>
        <v>ERROR</v>
      </c>
      <c r="J172" s="40" t="str">
        <f t="shared" si="22"/>
        <v>ERROR</v>
      </c>
      <c r="K172" s="42" t="str">
        <f t="shared" si="21"/>
        <v>ERROR</v>
      </c>
    </row>
    <row r="173" spans="1:11" x14ac:dyDescent="0.35">
      <c r="A173" s="38" t="str">
        <f t="shared" si="19"/>
        <v>Libre InversiónINDEPENDIENTE&lt;300</v>
      </c>
      <c r="B173" s="39" t="s">
        <v>335</v>
      </c>
      <c r="C173" t="s">
        <v>330</v>
      </c>
      <c r="D173" t="s">
        <v>303</v>
      </c>
      <c r="E173" s="36" t="s">
        <v>322</v>
      </c>
      <c r="F173" s="36" t="s">
        <v>336</v>
      </c>
      <c r="G173" s="36" t="s">
        <v>324</v>
      </c>
      <c r="H173" s="40" t="s">
        <v>328</v>
      </c>
      <c r="I173" s="40" t="str">
        <f t="shared" si="20"/>
        <v>ERROR</v>
      </c>
      <c r="J173" s="40" t="str">
        <f t="shared" si="22"/>
        <v>ERROR</v>
      </c>
      <c r="K173" s="42" t="str">
        <f t="shared" si="21"/>
        <v>ERROR</v>
      </c>
    </row>
    <row r="174" spans="1:11" x14ac:dyDescent="0.35">
      <c r="A174" s="38" t="str">
        <f t="shared" si="19"/>
        <v>NOINDEPENDIENTE&lt;300</v>
      </c>
      <c r="B174" s="39" t="s">
        <v>335</v>
      </c>
      <c r="C174" t="s">
        <v>332</v>
      </c>
      <c r="D174" t="s">
        <v>413</v>
      </c>
      <c r="E174" s="36" t="s">
        <v>322</v>
      </c>
      <c r="F174" s="36" t="s">
        <v>336</v>
      </c>
      <c r="G174" s="36" t="s">
        <v>324</v>
      </c>
      <c r="H174" s="40" t="s">
        <v>328</v>
      </c>
      <c r="I174" s="40" t="str">
        <f t="shared" si="20"/>
        <v>ERROR</v>
      </c>
      <c r="J174" s="40" t="str">
        <f t="shared" si="22"/>
        <v>ERROR</v>
      </c>
      <c r="K174" s="42" t="str">
        <f t="shared" si="21"/>
        <v>ERROR</v>
      </c>
    </row>
    <row r="175" spans="1:11" x14ac:dyDescent="0.35">
      <c r="A175" s="38" t="str">
        <f t="shared" si="19"/>
        <v>Vivienda VISINDEPENDIENTE&gt;=300</v>
      </c>
      <c r="B175" s="39" t="s">
        <v>335</v>
      </c>
      <c r="C175" t="s">
        <v>321</v>
      </c>
      <c r="D175" t="s">
        <v>401</v>
      </c>
      <c r="E175" s="36" t="s">
        <v>322</v>
      </c>
      <c r="F175" s="36" t="s">
        <v>336</v>
      </c>
      <c r="G175" s="36" t="s">
        <v>333</v>
      </c>
      <c r="H175" s="40" t="s">
        <v>328</v>
      </c>
      <c r="I175" s="40" t="str">
        <f t="shared" si="20"/>
        <v>ERROR</v>
      </c>
      <c r="J175" s="40" t="str">
        <f t="shared" si="22"/>
        <v>ERROR</v>
      </c>
      <c r="K175" s="42" t="str">
        <f t="shared" si="21"/>
        <v>ERROR</v>
      </c>
    </row>
    <row r="176" spans="1:11" x14ac:dyDescent="0.35">
      <c r="A176" s="38" t="str">
        <f t="shared" si="19"/>
        <v>Vivienda VISINDEPENDIENTE&gt;=300</v>
      </c>
      <c r="B176" s="39" t="s">
        <v>335</v>
      </c>
      <c r="C176" t="s">
        <v>325</v>
      </c>
      <c r="D176" t="s">
        <v>401</v>
      </c>
      <c r="E176" s="36" t="s">
        <v>322</v>
      </c>
      <c r="F176" s="36" t="s">
        <v>336</v>
      </c>
      <c r="G176" s="36" t="s">
        <v>333</v>
      </c>
      <c r="H176" s="40" t="s">
        <v>328</v>
      </c>
      <c r="I176" s="40" t="str">
        <f t="shared" si="20"/>
        <v>ERROR</v>
      </c>
      <c r="J176" s="40" t="str">
        <f t="shared" si="22"/>
        <v>ERROR</v>
      </c>
      <c r="K176" s="42" t="str">
        <f t="shared" si="21"/>
        <v>ERROR</v>
      </c>
    </row>
    <row r="177" spans="1:11" x14ac:dyDescent="0.35">
      <c r="A177" s="38" t="str">
        <f t="shared" si="19"/>
        <v>Vivienda VISINDEPENDIENTE&gt;=300</v>
      </c>
      <c r="B177" s="39" t="s">
        <v>335</v>
      </c>
      <c r="C177" t="s">
        <v>326</v>
      </c>
      <c r="D177" t="s">
        <v>401</v>
      </c>
      <c r="E177" s="36" t="s">
        <v>322</v>
      </c>
      <c r="F177" s="36" t="s">
        <v>336</v>
      </c>
      <c r="G177" s="36" t="s">
        <v>333</v>
      </c>
      <c r="H177" s="40" t="s">
        <v>328</v>
      </c>
      <c r="I177" s="40" t="str">
        <f t="shared" si="20"/>
        <v>ERROR</v>
      </c>
      <c r="J177" s="40" t="str">
        <f t="shared" si="22"/>
        <v>ERROR</v>
      </c>
      <c r="K177" s="42" t="str">
        <f t="shared" si="21"/>
        <v>ERROR</v>
      </c>
    </row>
    <row r="178" spans="1:11" x14ac:dyDescent="0.35">
      <c r="A178" s="38" t="str">
        <f t="shared" si="19"/>
        <v>Vivienda VISINDEPENDIENTE&gt;=300</v>
      </c>
      <c r="B178" s="39" t="s">
        <v>335</v>
      </c>
      <c r="C178" t="s">
        <v>327</v>
      </c>
      <c r="D178" t="s">
        <v>401</v>
      </c>
      <c r="E178" s="36" t="s">
        <v>322</v>
      </c>
      <c r="F178" s="36" t="s">
        <v>336</v>
      </c>
      <c r="G178" s="36" t="s">
        <v>333</v>
      </c>
      <c r="H178" s="40" t="s">
        <v>328</v>
      </c>
      <c r="I178" s="40" t="str">
        <f t="shared" si="20"/>
        <v>ERROR</v>
      </c>
      <c r="J178" s="40" t="str">
        <f t="shared" si="22"/>
        <v>ERROR</v>
      </c>
      <c r="K178" s="42" t="str">
        <f t="shared" si="21"/>
        <v>ERROR</v>
      </c>
    </row>
    <row r="179" spans="1:11" x14ac:dyDescent="0.35">
      <c r="A179" s="38" t="str">
        <f t="shared" si="19"/>
        <v>ComercialINDEPENDIENTE&gt;=300</v>
      </c>
      <c r="B179" s="39" t="s">
        <v>335</v>
      </c>
      <c r="C179" t="s">
        <v>329</v>
      </c>
      <c r="D179" t="s">
        <v>306</v>
      </c>
      <c r="E179" s="36" t="s">
        <v>322</v>
      </c>
      <c r="F179" s="36" t="s">
        <v>336</v>
      </c>
      <c r="G179" s="36" t="s">
        <v>333</v>
      </c>
      <c r="H179" s="40" t="s">
        <v>328</v>
      </c>
      <c r="I179" s="40" t="str">
        <f t="shared" si="20"/>
        <v>ERROR</v>
      </c>
      <c r="J179" s="40" t="str">
        <f t="shared" si="22"/>
        <v>ERROR</v>
      </c>
      <c r="K179" s="42" t="str">
        <f t="shared" si="21"/>
        <v>ERROR</v>
      </c>
    </row>
    <row r="180" spans="1:11" x14ac:dyDescent="0.35">
      <c r="A180" s="38" t="str">
        <f t="shared" si="19"/>
        <v>Libre InversiónINDEPENDIENTE&gt;=300</v>
      </c>
      <c r="B180" s="39" t="s">
        <v>335</v>
      </c>
      <c r="C180" t="s">
        <v>330</v>
      </c>
      <c r="D180" t="s">
        <v>303</v>
      </c>
      <c r="E180" s="36" t="s">
        <v>322</v>
      </c>
      <c r="F180" s="36" t="s">
        <v>336</v>
      </c>
      <c r="G180" s="36" t="s">
        <v>333</v>
      </c>
      <c r="H180" s="40" t="s">
        <v>328</v>
      </c>
      <c r="I180" s="40" t="str">
        <f t="shared" si="20"/>
        <v>ERROR</v>
      </c>
      <c r="J180" s="40" t="str">
        <f t="shared" si="22"/>
        <v>ERROR</v>
      </c>
      <c r="K180" s="42" t="str">
        <f t="shared" si="21"/>
        <v>ERROR</v>
      </c>
    </row>
    <row r="181" spans="1:11" x14ac:dyDescent="0.35">
      <c r="A181" s="38" t="str">
        <f t="shared" si="19"/>
        <v>Vivienda VISINDEPENDIENTE&gt;=300</v>
      </c>
      <c r="B181" s="39" t="s">
        <v>335</v>
      </c>
      <c r="C181" t="s">
        <v>331</v>
      </c>
      <c r="D181" t="s">
        <v>401</v>
      </c>
      <c r="E181" s="36" t="s">
        <v>322</v>
      </c>
      <c r="F181" s="36" t="s">
        <v>336</v>
      </c>
      <c r="G181" s="36" t="s">
        <v>333</v>
      </c>
      <c r="H181" s="40" t="s">
        <v>328</v>
      </c>
      <c r="I181" s="40" t="str">
        <f t="shared" si="20"/>
        <v>ERROR</v>
      </c>
      <c r="J181" s="40" t="str">
        <f t="shared" si="22"/>
        <v>ERROR</v>
      </c>
      <c r="K181" s="42" t="str">
        <f t="shared" si="21"/>
        <v>ERROR</v>
      </c>
    </row>
    <row r="182" spans="1:11" x14ac:dyDescent="0.35">
      <c r="A182" s="38" t="str">
        <f t="shared" si="19"/>
        <v>NOINDEPENDIENTE&gt;=300</v>
      </c>
      <c r="B182" s="39" t="s">
        <v>335</v>
      </c>
      <c r="C182" t="s">
        <v>332</v>
      </c>
      <c r="D182" t="s">
        <v>413</v>
      </c>
      <c r="E182" s="36" t="s">
        <v>322</v>
      </c>
      <c r="F182" s="36" t="s">
        <v>336</v>
      </c>
      <c r="G182" s="36" t="s">
        <v>333</v>
      </c>
      <c r="H182" s="40" t="s">
        <v>328</v>
      </c>
      <c r="I182" s="40" t="str">
        <f t="shared" si="20"/>
        <v>ERROR</v>
      </c>
      <c r="J182" s="40" t="str">
        <f t="shared" si="22"/>
        <v>ERROR</v>
      </c>
      <c r="K182" s="42" t="str">
        <f t="shared" si="21"/>
        <v>ERROR</v>
      </c>
    </row>
    <row r="183" spans="1:11" x14ac:dyDescent="0.35">
      <c r="A183" s="38" t="str">
        <f t="shared" si="19"/>
        <v>Libre InversiónASALARIADO&lt;300</v>
      </c>
      <c r="B183" s="39" t="s">
        <v>320</v>
      </c>
      <c r="C183" t="s">
        <v>330</v>
      </c>
      <c r="D183" t="s">
        <v>303</v>
      </c>
      <c r="E183" s="36" t="s">
        <v>337</v>
      </c>
      <c r="F183" s="36" t="s">
        <v>336</v>
      </c>
      <c r="G183" s="36" t="s">
        <v>324</v>
      </c>
      <c r="H183" s="40" t="s">
        <v>328</v>
      </c>
      <c r="I183" s="40" t="str">
        <f t="shared" si="20"/>
        <v>ERROR</v>
      </c>
      <c r="J183" s="40" t="str">
        <f t="shared" si="22"/>
        <v>ERROR</v>
      </c>
      <c r="K183" s="42" t="str">
        <f t="shared" si="21"/>
        <v>ERROR</v>
      </c>
    </row>
    <row r="184" spans="1:11" x14ac:dyDescent="0.35">
      <c r="A184" s="38" t="str">
        <f t="shared" si="19"/>
        <v>NOASALARIADO&lt;300</v>
      </c>
      <c r="B184" s="39" t="s">
        <v>320</v>
      </c>
      <c r="C184" t="s">
        <v>332</v>
      </c>
      <c r="D184" t="s">
        <v>413</v>
      </c>
      <c r="E184" s="36" t="s">
        <v>337</v>
      </c>
      <c r="F184" s="36" t="s">
        <v>336</v>
      </c>
      <c r="G184" s="36" t="s">
        <v>324</v>
      </c>
      <c r="H184" s="40" t="s">
        <v>328</v>
      </c>
      <c r="I184" s="40" t="str">
        <f t="shared" si="20"/>
        <v>ERROR</v>
      </c>
      <c r="J184" s="40" t="str">
        <f t="shared" si="22"/>
        <v>ERROR</v>
      </c>
      <c r="K184" s="42" t="str">
        <f t="shared" si="21"/>
        <v>ERROR</v>
      </c>
    </row>
    <row r="185" spans="1:11" x14ac:dyDescent="0.35">
      <c r="A185" s="38" t="str">
        <f t="shared" si="19"/>
        <v>Libre InversiónASALARIADO&gt;=300</v>
      </c>
      <c r="B185" s="39" t="s">
        <v>320</v>
      </c>
      <c r="C185" t="s">
        <v>330</v>
      </c>
      <c r="D185" t="s">
        <v>303</v>
      </c>
      <c r="E185" s="36" t="s">
        <v>337</v>
      </c>
      <c r="F185" s="36" t="s">
        <v>336</v>
      </c>
      <c r="G185" s="36" t="s">
        <v>333</v>
      </c>
      <c r="H185" s="40" t="s">
        <v>328</v>
      </c>
      <c r="I185" s="40" t="str">
        <f t="shared" si="20"/>
        <v>ERROR</v>
      </c>
      <c r="J185" s="40" t="str">
        <f t="shared" si="22"/>
        <v>ERROR</v>
      </c>
      <c r="K185" s="42" t="str">
        <f t="shared" si="21"/>
        <v>ERROR</v>
      </c>
    </row>
    <row r="186" spans="1:11" x14ac:dyDescent="0.35">
      <c r="A186" s="38" t="str">
        <f t="shared" si="19"/>
        <v>NOASALARIADO&gt;=300</v>
      </c>
      <c r="B186" s="39" t="s">
        <v>320</v>
      </c>
      <c r="C186" t="s">
        <v>332</v>
      </c>
      <c r="D186" t="s">
        <v>413</v>
      </c>
      <c r="E186" s="36" t="s">
        <v>337</v>
      </c>
      <c r="F186" s="36" t="s">
        <v>336</v>
      </c>
      <c r="G186" s="36" t="s">
        <v>333</v>
      </c>
      <c r="H186" s="40" t="s">
        <v>328</v>
      </c>
      <c r="I186" s="40" t="str">
        <f t="shared" si="20"/>
        <v>ERROR</v>
      </c>
      <c r="J186" s="40" t="str">
        <f t="shared" si="22"/>
        <v>ERROR</v>
      </c>
      <c r="K186" s="42" t="str">
        <f t="shared" si="21"/>
        <v>ERROR</v>
      </c>
    </row>
    <row r="187" spans="1:11" x14ac:dyDescent="0.35">
      <c r="A187" s="38" t="str">
        <f t="shared" si="19"/>
        <v>Libre InversiónPENSIONADO&lt;300</v>
      </c>
      <c r="B187" s="39" t="s">
        <v>334</v>
      </c>
      <c r="C187" t="s">
        <v>330</v>
      </c>
      <c r="D187" t="s">
        <v>303</v>
      </c>
      <c r="E187" s="36" t="s">
        <v>337</v>
      </c>
      <c r="F187" s="36" t="s">
        <v>336</v>
      </c>
      <c r="G187" s="36" t="s">
        <v>324</v>
      </c>
      <c r="H187" s="40" t="s">
        <v>328</v>
      </c>
      <c r="I187" s="40" t="str">
        <f t="shared" si="20"/>
        <v>ERROR</v>
      </c>
      <c r="J187" s="40" t="str">
        <f t="shared" si="22"/>
        <v>ERROR</v>
      </c>
      <c r="K187" s="42" t="str">
        <f t="shared" si="21"/>
        <v>ERROR</v>
      </c>
    </row>
    <row r="188" spans="1:11" x14ac:dyDescent="0.35">
      <c r="A188" s="38" t="str">
        <f t="shared" si="19"/>
        <v>NOPENSIONADO&lt;300</v>
      </c>
      <c r="B188" s="39" t="s">
        <v>334</v>
      </c>
      <c r="C188" t="s">
        <v>332</v>
      </c>
      <c r="D188" t="s">
        <v>413</v>
      </c>
      <c r="E188" s="36" t="s">
        <v>337</v>
      </c>
      <c r="F188" s="36" t="s">
        <v>336</v>
      </c>
      <c r="G188" s="36" t="s">
        <v>324</v>
      </c>
      <c r="H188" s="40" t="s">
        <v>328</v>
      </c>
      <c r="I188" s="40" t="str">
        <f t="shared" si="20"/>
        <v>ERROR</v>
      </c>
      <c r="J188" s="40" t="str">
        <f t="shared" si="22"/>
        <v>ERROR</v>
      </c>
      <c r="K188" s="42" t="str">
        <f t="shared" si="21"/>
        <v>ERROR</v>
      </c>
    </row>
    <row r="189" spans="1:11" x14ac:dyDescent="0.35">
      <c r="A189" s="38" t="str">
        <f t="shared" si="19"/>
        <v>Libre InversiónPENSIONADO&gt;=300</v>
      </c>
      <c r="B189" s="39" t="s">
        <v>334</v>
      </c>
      <c r="C189" t="s">
        <v>330</v>
      </c>
      <c r="D189" t="s">
        <v>303</v>
      </c>
      <c r="E189" s="36" t="s">
        <v>337</v>
      </c>
      <c r="F189" s="36" t="s">
        <v>336</v>
      </c>
      <c r="G189" s="36" t="s">
        <v>333</v>
      </c>
      <c r="H189" s="40" t="s">
        <v>328</v>
      </c>
      <c r="I189" s="40" t="str">
        <f t="shared" si="20"/>
        <v>ERROR</v>
      </c>
      <c r="J189" s="40" t="str">
        <f t="shared" si="22"/>
        <v>ERROR</v>
      </c>
      <c r="K189" s="42" t="str">
        <f t="shared" si="21"/>
        <v>ERROR</v>
      </c>
    </row>
    <row r="190" spans="1:11" x14ac:dyDescent="0.35">
      <c r="A190" s="38" t="str">
        <f t="shared" si="19"/>
        <v>NOPENSIONADO&gt;=300</v>
      </c>
      <c r="B190" s="39" t="s">
        <v>334</v>
      </c>
      <c r="C190" t="s">
        <v>332</v>
      </c>
      <c r="D190" t="s">
        <v>413</v>
      </c>
      <c r="E190" s="36" t="s">
        <v>337</v>
      </c>
      <c r="F190" s="36" t="s">
        <v>336</v>
      </c>
      <c r="G190" s="36" t="s">
        <v>333</v>
      </c>
      <c r="H190" s="40" t="s">
        <v>328</v>
      </c>
      <c r="I190" s="40" t="str">
        <f t="shared" si="20"/>
        <v>ERROR</v>
      </c>
      <c r="J190" s="40" t="str">
        <f t="shared" si="22"/>
        <v>ERROR</v>
      </c>
      <c r="K190" s="42" t="str">
        <f t="shared" si="21"/>
        <v>ERROR</v>
      </c>
    </row>
    <row r="191" spans="1:11" x14ac:dyDescent="0.35">
      <c r="A191" s="38" t="str">
        <f t="shared" si="19"/>
        <v>Libre InversiónINDEPENDIENTE&lt;300</v>
      </c>
      <c r="B191" s="39" t="s">
        <v>335</v>
      </c>
      <c r="C191" t="s">
        <v>330</v>
      </c>
      <c r="D191" t="s">
        <v>303</v>
      </c>
      <c r="E191" s="36" t="s">
        <v>337</v>
      </c>
      <c r="F191" s="36" t="s">
        <v>336</v>
      </c>
      <c r="G191" s="36" t="s">
        <v>324</v>
      </c>
      <c r="H191" s="40" t="s">
        <v>328</v>
      </c>
      <c r="I191" s="40" t="str">
        <f t="shared" si="20"/>
        <v>ERROR</v>
      </c>
      <c r="J191" s="40" t="str">
        <f t="shared" si="22"/>
        <v>ERROR</v>
      </c>
      <c r="K191" s="42" t="str">
        <f t="shared" si="21"/>
        <v>ERROR</v>
      </c>
    </row>
    <row r="192" spans="1:11" x14ac:dyDescent="0.35">
      <c r="A192" s="38" t="str">
        <f t="shared" si="19"/>
        <v>NOINDEPENDIENTE&lt;300</v>
      </c>
      <c r="B192" s="39" t="s">
        <v>335</v>
      </c>
      <c r="C192" t="s">
        <v>332</v>
      </c>
      <c r="D192" t="s">
        <v>413</v>
      </c>
      <c r="E192" s="36" t="s">
        <v>337</v>
      </c>
      <c r="F192" s="36" t="s">
        <v>336</v>
      </c>
      <c r="G192" s="36" t="s">
        <v>324</v>
      </c>
      <c r="H192" s="40" t="s">
        <v>328</v>
      </c>
      <c r="I192" s="40" t="str">
        <f t="shared" si="20"/>
        <v>ERROR</v>
      </c>
      <c r="J192" s="40" t="str">
        <f t="shared" si="22"/>
        <v>ERROR</v>
      </c>
      <c r="K192" s="42" t="str">
        <f t="shared" si="21"/>
        <v>ERROR</v>
      </c>
    </row>
    <row r="193" spans="1:11" x14ac:dyDescent="0.35">
      <c r="A193" s="38" t="str">
        <f t="shared" si="19"/>
        <v>Libre InversiónINDEPENDIENTE&gt;=300</v>
      </c>
      <c r="B193" s="39" t="s">
        <v>335</v>
      </c>
      <c r="C193" t="s">
        <v>330</v>
      </c>
      <c r="D193" t="s">
        <v>303</v>
      </c>
      <c r="E193" s="36" t="s">
        <v>337</v>
      </c>
      <c r="F193" s="36" t="s">
        <v>336</v>
      </c>
      <c r="G193" s="36" t="s">
        <v>333</v>
      </c>
      <c r="H193" s="40" t="s">
        <v>328</v>
      </c>
      <c r="I193" s="40" t="str">
        <f t="shared" si="20"/>
        <v>ERROR</v>
      </c>
      <c r="J193" s="40" t="str">
        <f t="shared" si="22"/>
        <v>ERROR</v>
      </c>
      <c r="K193" s="42" t="str">
        <f t="shared" si="21"/>
        <v>ERROR</v>
      </c>
    </row>
    <row r="194" spans="1:11" x14ac:dyDescent="0.35">
      <c r="A194" s="38" t="str">
        <f t="shared" si="19"/>
        <v>NOINDEPENDIENTE&gt;=300</v>
      </c>
      <c r="B194" s="39" t="s">
        <v>335</v>
      </c>
      <c r="C194" t="s">
        <v>332</v>
      </c>
      <c r="D194" t="s">
        <v>413</v>
      </c>
      <c r="E194" s="36" t="s">
        <v>337</v>
      </c>
      <c r="F194" s="36" t="s">
        <v>336</v>
      </c>
      <c r="G194" s="36" t="s">
        <v>333</v>
      </c>
      <c r="H194" s="40" t="s">
        <v>328</v>
      </c>
      <c r="I194" s="40" t="str">
        <f t="shared" si="20"/>
        <v>ERROR</v>
      </c>
      <c r="J194" s="40" t="str">
        <f t="shared" si="22"/>
        <v>ERROR</v>
      </c>
      <c r="K194" s="42" t="str">
        <f t="shared" si="21"/>
        <v>ERROR</v>
      </c>
    </row>
  </sheetData>
  <sheetProtection algorithmName="SHA-512" hashValue="mCMUJdpwYcC3hgf5GtSK/UG5ooQo0vpLr2qY8irqAype+C/kdfy0N0JypyJLHnPdWFWa/okyGykooKSE7+TfuA==" saltValue="xVPGVWRJ9kP57nsXFEeQXA==" spinCount="100000" sheet="1" objects="1" scenarios="1"/>
  <sortState xmlns:xlrd2="http://schemas.microsoft.com/office/spreadsheetml/2017/richdata2" ref="A3:K194">
    <sortCondition sortBy="cellColor" ref="H3:H194" dxfId="5"/>
  </sortState>
  <conditionalFormatting sqref="H3:I50 H99:I194">
    <cfRule type="containsText" dxfId="4" priority="5" operator="containsText" text="ERROR">
      <formula>NOT(ISERROR(SEARCH("ERROR",H3)))</formula>
    </cfRule>
  </conditionalFormatting>
  <conditionalFormatting sqref="H51:I98">
    <cfRule type="containsText" dxfId="3" priority="4" operator="containsText" text="ERROR">
      <formula>NOT(ISERROR(SEARCH("ERROR",H51)))</formula>
    </cfRule>
  </conditionalFormatting>
  <conditionalFormatting sqref="K3:K194">
    <cfRule type="containsText" dxfId="2" priority="3" operator="containsText" text="ERROR">
      <formula>NOT(ISERROR(SEARCH("ERROR",K3)))</formula>
    </cfRule>
  </conditionalFormatting>
  <conditionalFormatting sqref="J3:J50 J99:J194">
    <cfRule type="containsText" dxfId="1" priority="2" operator="containsText" text="ERROR">
      <formula>NOT(ISERROR(SEARCH("ERROR",J3)))</formula>
    </cfRule>
  </conditionalFormatting>
  <conditionalFormatting sqref="J51:J98">
    <cfRule type="containsText" dxfId="0" priority="1" operator="containsText" text="ERROR">
      <formula>NOT(ISERROR(SEARCH("ERROR",J51)))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AW67"/>
  <sheetViews>
    <sheetView showGridLines="0" topLeftCell="R11" zoomScale="80" zoomScaleNormal="80" workbookViewId="0">
      <selection activeCell="U34" sqref="U34"/>
    </sheetView>
  </sheetViews>
  <sheetFormatPr baseColWidth="10" defaultRowHeight="14.5" x14ac:dyDescent="0.35"/>
  <cols>
    <col min="1" max="1" width="16.1796875" bestFit="1" customWidth="1"/>
    <col min="2" max="2" width="14.1796875" bestFit="1" customWidth="1"/>
    <col min="3" max="29" width="14.1796875" customWidth="1"/>
    <col min="30" max="30" width="15.54296875" bestFit="1" customWidth="1"/>
    <col min="32" max="32" width="12" bestFit="1" customWidth="1"/>
    <col min="33" max="33" width="12.81640625" bestFit="1" customWidth="1"/>
    <col min="35" max="35" width="1.1796875" style="14" customWidth="1"/>
    <col min="36" max="36" width="12" bestFit="1" customWidth="1"/>
    <col min="37" max="37" width="13.1796875" bestFit="1" customWidth="1"/>
    <col min="38" max="38" width="12.1796875" bestFit="1" customWidth="1"/>
    <col min="39" max="39" width="14.1796875" bestFit="1" customWidth="1"/>
    <col min="41" max="41" width="13.1796875" bestFit="1" customWidth="1"/>
    <col min="42" max="42" width="11.54296875" bestFit="1" customWidth="1"/>
    <col min="43" max="43" width="13" bestFit="1" customWidth="1"/>
  </cols>
  <sheetData>
    <row r="2" spans="1:48" x14ac:dyDescent="0.35">
      <c r="A2" s="12" t="s">
        <v>0</v>
      </c>
      <c r="AL2" s="5"/>
    </row>
    <row r="3" spans="1:48" s="14" customFormat="1" x14ac:dyDescent="0.35">
      <c r="A3" s="16"/>
      <c r="AK3" s="20"/>
      <c r="AL3" s="20"/>
    </row>
    <row r="4" spans="1:48" s="14" customFormat="1" x14ac:dyDescent="0.35">
      <c r="A4" t="s">
        <v>100</v>
      </c>
      <c r="B4" s="3">
        <v>737717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K4" s="20"/>
      <c r="AL4" s="20"/>
    </row>
    <row r="5" spans="1:48" s="14" customFormat="1" x14ac:dyDescent="0.35">
      <c r="A5" t="s">
        <v>101</v>
      </c>
      <c r="B5" s="3">
        <f>+B4*2</f>
        <v>1475434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K5" s="20"/>
      <c r="AL5" s="20"/>
    </row>
    <row r="6" spans="1:48" s="14" customFormat="1" x14ac:dyDescent="0.35">
      <c r="A6" t="s">
        <v>91</v>
      </c>
      <c r="B6" s="14">
        <v>48</v>
      </c>
      <c r="AK6" s="20"/>
      <c r="AL6" s="20"/>
    </row>
    <row r="7" spans="1:48" s="14" customFormat="1" x14ac:dyDescent="0.35">
      <c r="A7" s="16"/>
      <c r="AK7" s="20"/>
      <c r="AL7" s="20"/>
    </row>
    <row r="8" spans="1:48" s="14" customFormat="1" x14ac:dyDescent="0.35">
      <c r="A8" s="16"/>
      <c r="AK8" s="5"/>
      <c r="AL8" s="20"/>
    </row>
    <row r="9" spans="1:48" x14ac:dyDescent="0.3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E9" s="3"/>
      <c r="AF9" s="3"/>
      <c r="AK9" s="5"/>
    </row>
    <row r="10" spans="1:48" x14ac:dyDescent="0.3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J10" s="3"/>
      <c r="AK10" s="5"/>
      <c r="AP10" s="3"/>
      <c r="AQ10" s="4"/>
      <c r="AS10" s="2"/>
      <c r="AV10" s="3"/>
    </row>
    <row r="11" spans="1:48" x14ac:dyDescent="0.35">
      <c r="B11" s="5"/>
      <c r="C11" s="5"/>
      <c r="D11" s="21" t="s">
        <v>6</v>
      </c>
      <c r="E11" s="21" t="s">
        <v>7</v>
      </c>
      <c r="F11" s="21" t="s">
        <v>8</v>
      </c>
      <c r="G11" s="21" t="s">
        <v>9</v>
      </c>
      <c r="H11" s="21" t="s">
        <v>10</v>
      </c>
      <c r="I11" s="21" t="s">
        <v>11</v>
      </c>
      <c r="J11" s="21" t="s">
        <v>12</v>
      </c>
      <c r="K11" s="21" t="s">
        <v>13</v>
      </c>
      <c r="L11" s="21" t="s">
        <v>14</v>
      </c>
      <c r="M11" s="21" t="s">
        <v>15</v>
      </c>
      <c r="N11" s="21" t="s">
        <v>16</v>
      </c>
      <c r="O11" s="21" t="s">
        <v>17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19"/>
      <c r="AJ11" s="2">
        <f>+IRR(AJ19:AJ31)</f>
        <v>3.1996470191143711E-2</v>
      </c>
      <c r="AK11" s="5"/>
      <c r="AP11" s="5"/>
    </row>
    <row r="12" spans="1:48" x14ac:dyDescent="0.35">
      <c r="A12" t="s">
        <v>93</v>
      </c>
      <c r="B12" s="2">
        <v>0.02</v>
      </c>
      <c r="C12" s="2"/>
      <c r="D12" s="2">
        <f>+B12</f>
        <v>0.02</v>
      </c>
      <c r="E12" s="2">
        <f>+D12</f>
        <v>0.02</v>
      </c>
      <c r="F12" s="2">
        <f t="shared" ref="F12:O12" si="0">+E12</f>
        <v>0.02</v>
      </c>
      <c r="G12" s="2">
        <f t="shared" si="0"/>
        <v>0.02</v>
      </c>
      <c r="H12" s="2">
        <f t="shared" si="0"/>
        <v>0.02</v>
      </c>
      <c r="I12" s="2">
        <f t="shared" si="0"/>
        <v>0.02</v>
      </c>
      <c r="J12" s="2">
        <f t="shared" si="0"/>
        <v>0.02</v>
      </c>
      <c r="K12" s="2">
        <f t="shared" si="0"/>
        <v>0.02</v>
      </c>
      <c r="L12" s="2">
        <f t="shared" si="0"/>
        <v>0.02</v>
      </c>
      <c r="M12" s="2">
        <f t="shared" si="0"/>
        <v>0.02</v>
      </c>
      <c r="N12" s="2">
        <f t="shared" si="0"/>
        <v>0.02</v>
      </c>
      <c r="O12" s="2">
        <f t="shared" si="0"/>
        <v>0.02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H12" s="1" t="s">
        <v>97</v>
      </c>
      <c r="AI12" s="15"/>
      <c r="AJ12" s="11">
        <f>+IRR(AJ19:AJ31)</f>
        <v>3.1996470191143711E-2</v>
      </c>
      <c r="AK12" s="2"/>
      <c r="AL12" s="2"/>
      <c r="AP12" s="5"/>
    </row>
    <row r="13" spans="1:48" x14ac:dyDescent="0.3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H13" s="12" t="s">
        <v>98</v>
      </c>
      <c r="AI13" s="16"/>
      <c r="AJ13" s="13">
        <f>+(1+AJ12)^(12)-1</f>
        <v>0.45927970370301829</v>
      </c>
      <c r="AK13" s="5"/>
      <c r="AL13" s="13"/>
      <c r="AP13" s="5"/>
    </row>
    <row r="14" spans="1:48" x14ac:dyDescent="0.35">
      <c r="A14" t="s">
        <v>107</v>
      </c>
      <c r="B14">
        <v>17700</v>
      </c>
      <c r="E14" s="24">
        <f>+E20-D20</f>
        <v>-30738.208333333256</v>
      </c>
      <c r="F14" s="24">
        <f t="shared" ref="F14:P14" si="1">+F20-E20</f>
        <v>-30738.208333333256</v>
      </c>
      <c r="G14" s="24">
        <f t="shared" si="1"/>
        <v>-30738.208333333256</v>
      </c>
      <c r="H14" s="24">
        <f t="shared" si="1"/>
        <v>-30738.208333333256</v>
      </c>
      <c r="I14" s="24">
        <f t="shared" si="1"/>
        <v>-30738.208333333256</v>
      </c>
      <c r="J14" s="24">
        <f t="shared" si="1"/>
        <v>-30738.208333333256</v>
      </c>
      <c r="K14" s="24">
        <f t="shared" si="1"/>
        <v>-30738.208333333256</v>
      </c>
      <c r="L14" s="24">
        <f t="shared" si="1"/>
        <v>-30738.208333333256</v>
      </c>
      <c r="M14" s="24">
        <f t="shared" si="1"/>
        <v>-30738.208333333256</v>
      </c>
      <c r="N14" s="24">
        <f t="shared" si="1"/>
        <v>-30738.208333333256</v>
      </c>
      <c r="O14" s="24">
        <f t="shared" si="1"/>
        <v>-30738.208333333256</v>
      </c>
      <c r="P14" s="24">
        <f t="shared" si="1"/>
        <v>-30738.208333333256</v>
      </c>
      <c r="AD14" t="s">
        <v>94</v>
      </c>
      <c r="AP14" s="5"/>
    </row>
    <row r="15" spans="1:48" x14ac:dyDescent="0.3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P15" s="5"/>
    </row>
    <row r="16" spans="1:48" x14ac:dyDescent="0.35">
      <c r="D16" s="109" t="s">
        <v>102</v>
      </c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t="s">
        <v>103</v>
      </c>
      <c r="AD16" s="9" t="s">
        <v>2</v>
      </c>
      <c r="AE16" s="9" t="s">
        <v>3</v>
      </c>
      <c r="AF16" s="9" t="s">
        <v>4</v>
      </c>
      <c r="AG16" s="9" t="s">
        <v>5</v>
      </c>
      <c r="AH16" s="9" t="s">
        <v>107</v>
      </c>
      <c r="AI16" s="17"/>
      <c r="AJ16" s="9" t="s">
        <v>96</v>
      </c>
    </row>
    <row r="17" spans="2:49" s="14" customFormat="1" ht="3" customHeight="1" x14ac:dyDescent="0.35"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D17" s="17"/>
      <c r="AE17" s="17"/>
      <c r="AF17" s="17"/>
      <c r="AG17" s="17"/>
      <c r="AH17" s="17"/>
      <c r="AI17" s="17"/>
      <c r="AJ17" s="17"/>
    </row>
    <row r="18" spans="2:49" x14ac:dyDescent="0.35">
      <c r="B18" s="26" t="s">
        <v>106</v>
      </c>
      <c r="C18" s="26"/>
      <c r="D18" s="21" t="s">
        <v>104</v>
      </c>
      <c r="E18" s="21" t="s">
        <v>6</v>
      </c>
      <c r="F18" s="21" t="s">
        <v>7</v>
      </c>
      <c r="G18" s="21" t="s">
        <v>8</v>
      </c>
      <c r="H18" s="21" t="s">
        <v>9</v>
      </c>
      <c r="I18" s="21" t="s">
        <v>10</v>
      </c>
      <c r="J18" s="21" t="s">
        <v>11</v>
      </c>
      <c r="K18" s="21" t="s">
        <v>12</v>
      </c>
      <c r="L18" s="21" t="s">
        <v>13</v>
      </c>
      <c r="M18" s="21" t="s">
        <v>14</v>
      </c>
      <c r="N18" s="21" t="s">
        <v>15</v>
      </c>
      <c r="O18" s="21" t="s">
        <v>16</v>
      </c>
      <c r="P18" s="21" t="s">
        <v>17</v>
      </c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6"/>
      <c r="AB18" s="6"/>
      <c r="AC18" s="6"/>
      <c r="AG18" s="5"/>
      <c r="AP18" s="6"/>
      <c r="AT18" s="5"/>
    </row>
    <row r="19" spans="2:49" x14ac:dyDescent="0.35">
      <c r="D19" s="25">
        <f>+SUM(D20:D32)</f>
        <v>1475434</v>
      </c>
      <c r="E19" s="25">
        <f t="shared" ref="E19:N19" si="2">+SUM(E20:E31)</f>
        <v>1475434</v>
      </c>
      <c r="F19" s="25">
        <f t="shared" si="2"/>
        <v>1475434</v>
      </c>
      <c r="G19" s="25">
        <f t="shared" si="2"/>
        <v>1475434</v>
      </c>
      <c r="H19" s="25">
        <f t="shared" si="2"/>
        <v>1475434</v>
      </c>
      <c r="I19" s="25">
        <f t="shared" si="2"/>
        <v>1475434</v>
      </c>
      <c r="J19" s="25">
        <f t="shared" si="2"/>
        <v>1475434</v>
      </c>
      <c r="K19" s="25">
        <f t="shared" si="2"/>
        <v>1475434</v>
      </c>
      <c r="L19" s="25">
        <f t="shared" si="2"/>
        <v>1475434</v>
      </c>
      <c r="M19" s="25">
        <f t="shared" si="2"/>
        <v>1475434</v>
      </c>
      <c r="N19" s="25">
        <f t="shared" si="2"/>
        <v>1475434</v>
      </c>
      <c r="O19" s="25">
        <f>+SUM(O20:O31)</f>
        <v>1475434</v>
      </c>
      <c r="P19" s="25">
        <f>+SUM(P20:P32)</f>
        <v>1475434</v>
      </c>
      <c r="AA19" s="8">
        <v>12</v>
      </c>
      <c r="AB19" s="3">
        <f>+AG19</f>
        <v>1475434</v>
      </c>
      <c r="AD19" s="7">
        <v>0</v>
      </c>
      <c r="AE19" s="3"/>
      <c r="AF19" s="5"/>
      <c r="AG19" s="5">
        <f t="array" ref="AG19:AG31">+TRANSPOSE(D19:P19)</f>
        <v>1475434</v>
      </c>
      <c r="AH19" s="3"/>
      <c r="AI19" s="18"/>
      <c r="AJ19" s="3">
        <f>+AG19</f>
        <v>1475434</v>
      </c>
      <c r="AM19" s="5"/>
      <c r="AO19" s="5"/>
      <c r="AP19" s="6"/>
      <c r="AQ19" s="7"/>
      <c r="AR19" s="3"/>
      <c r="AS19" s="5"/>
      <c r="AT19" s="5"/>
      <c r="AU19" s="3"/>
      <c r="AV19" s="3"/>
      <c r="AW19" s="5"/>
    </row>
    <row r="20" spans="2:49" x14ac:dyDescent="0.35">
      <c r="B20" s="6" t="s">
        <v>104</v>
      </c>
      <c r="C20" s="6"/>
      <c r="D20" s="8">
        <f>+B5</f>
        <v>1475434</v>
      </c>
      <c r="E20" s="3">
        <f t="shared" ref="E20:P20" si="3">+D20-$D$20/48</f>
        <v>1444695.7916666667</v>
      </c>
      <c r="F20" s="3">
        <f t="shared" si="3"/>
        <v>1413957.5833333335</v>
      </c>
      <c r="G20" s="3">
        <f t="shared" si="3"/>
        <v>1383219.3750000002</v>
      </c>
      <c r="H20" s="3">
        <f t="shared" si="3"/>
        <v>1352481.166666667</v>
      </c>
      <c r="I20" s="3">
        <f t="shared" si="3"/>
        <v>1321742.9583333337</v>
      </c>
      <c r="J20" s="3">
        <f t="shared" si="3"/>
        <v>1291004.7500000005</v>
      </c>
      <c r="K20" s="3">
        <f t="shared" si="3"/>
        <v>1260266.5416666672</v>
      </c>
      <c r="L20" s="3">
        <f t="shared" si="3"/>
        <v>1229528.333333334</v>
      </c>
      <c r="M20" s="3">
        <f t="shared" si="3"/>
        <v>1198790.1250000007</v>
      </c>
      <c r="N20" s="3">
        <f t="shared" si="3"/>
        <v>1168051.9166666674</v>
      </c>
      <c r="O20" s="3">
        <f t="shared" si="3"/>
        <v>1137313.7083333342</v>
      </c>
      <c r="P20" s="3">
        <f t="shared" si="3"/>
        <v>1106575.5000000009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6"/>
      <c r="AB20" s="5">
        <f>-AF20-AE20</f>
        <v>-60246.888333333256</v>
      </c>
      <c r="AC20" s="6" t="s">
        <v>6</v>
      </c>
      <c r="AD20" s="31">
        <f>+-AF20-AE20+AF20</f>
        <v>-29508.68</v>
      </c>
      <c r="AE20" s="3">
        <f t="array" ref="AE20:AE31">+TRANSPOSE(E53:P53)</f>
        <v>29508.68</v>
      </c>
      <c r="AF20" s="5">
        <f t="array" ref="AF20:AF31">+-TRANSPOSE(E35:P35)</f>
        <v>30738.208333333256</v>
      </c>
      <c r="AG20" s="5">
        <v>1475434</v>
      </c>
      <c r="AH20" s="3">
        <f>+-$B$14</f>
        <v>-17700</v>
      </c>
      <c r="AI20" s="18"/>
      <c r="AJ20" s="10">
        <f>+AD20+AH20</f>
        <v>-47208.68</v>
      </c>
      <c r="AK20" s="30">
        <f>+AE20/AG19</f>
        <v>0.02</v>
      </c>
      <c r="AM20" s="3"/>
      <c r="AO20" s="3"/>
      <c r="AP20" s="6"/>
      <c r="AQ20" s="7"/>
      <c r="AR20" s="3"/>
      <c r="AS20" s="5"/>
      <c r="AT20" s="5"/>
      <c r="AU20" s="3"/>
      <c r="AV20" s="3"/>
      <c r="AW20" s="5"/>
    </row>
    <row r="21" spans="2:49" x14ac:dyDescent="0.35">
      <c r="B21" s="6" t="s">
        <v>6</v>
      </c>
      <c r="C21" s="6"/>
      <c r="D21" s="6"/>
      <c r="E21" s="3">
        <f>+D20-E20</f>
        <v>30738.208333333256</v>
      </c>
      <c r="F21" s="3">
        <f t="shared" ref="F21:P21" si="4">+E21-$E$21/48</f>
        <v>30097.828993055478</v>
      </c>
      <c r="G21" s="3">
        <f t="shared" si="4"/>
        <v>29457.449652777701</v>
      </c>
      <c r="H21" s="3">
        <f t="shared" si="4"/>
        <v>28817.070312499924</v>
      </c>
      <c r="I21" s="3">
        <f t="shared" si="4"/>
        <v>28176.690972222146</v>
      </c>
      <c r="J21" s="3">
        <f t="shared" si="4"/>
        <v>27536.311631944369</v>
      </c>
      <c r="K21" s="3">
        <f t="shared" si="4"/>
        <v>26895.932291666591</v>
      </c>
      <c r="L21" s="3">
        <f t="shared" si="4"/>
        <v>26255.552951388814</v>
      </c>
      <c r="M21" s="3">
        <f t="shared" si="4"/>
        <v>25615.173611111037</v>
      </c>
      <c r="N21" s="3">
        <f t="shared" si="4"/>
        <v>24974.794270833259</v>
      </c>
      <c r="O21" s="3">
        <f t="shared" si="4"/>
        <v>24334.414930555482</v>
      </c>
      <c r="P21" s="3">
        <f t="shared" si="4"/>
        <v>23694.035590277705</v>
      </c>
      <c r="Q21" s="3">
        <f t="shared" ref="Q21" si="5">+P21-$E$21/12</f>
        <v>21132.518229166599</v>
      </c>
      <c r="R21" s="3"/>
      <c r="S21" s="3"/>
      <c r="T21" s="3"/>
      <c r="U21" s="3"/>
      <c r="V21" s="3"/>
      <c r="W21" s="3"/>
      <c r="X21" s="3"/>
      <c r="Y21" s="3"/>
      <c r="Z21" s="3"/>
      <c r="AA21" s="6"/>
      <c r="AB21" s="5">
        <f t="shared" ref="AB21:AB31" si="6">-AF21-AE21</f>
        <v>-60887.26767361103</v>
      </c>
      <c r="AC21" s="6" t="s">
        <v>7</v>
      </c>
      <c r="AD21" s="31">
        <f>+-AF21-AE21+AF21</f>
        <v>-29508.679999999997</v>
      </c>
      <c r="AE21" s="3">
        <v>29508.68</v>
      </c>
      <c r="AF21" s="5">
        <v>31378.587673611033</v>
      </c>
      <c r="AG21" s="5">
        <v>1475434</v>
      </c>
      <c r="AH21" s="3">
        <f t="shared" ref="AH21:AH31" si="7">+-$B$14</f>
        <v>-17700</v>
      </c>
      <c r="AI21" s="18"/>
      <c r="AJ21" s="10">
        <f t="shared" ref="AJ21:AJ31" si="8">+AD21+AH21</f>
        <v>-47208.679999999993</v>
      </c>
      <c r="AK21" s="30">
        <f t="shared" ref="AK21:AK30" si="9">+AE21/AG20</f>
        <v>0.02</v>
      </c>
      <c r="AO21" s="3"/>
      <c r="AP21" s="6"/>
      <c r="AQ21" s="7"/>
      <c r="AR21" s="3"/>
      <c r="AS21" s="5"/>
      <c r="AT21" s="5"/>
      <c r="AU21" s="3"/>
      <c r="AV21" s="3"/>
      <c r="AW21" s="5"/>
    </row>
    <row r="22" spans="2:49" x14ac:dyDescent="0.35">
      <c r="B22" s="6" t="s">
        <v>7</v>
      </c>
      <c r="C22" s="6"/>
      <c r="D22" s="6"/>
      <c r="E22" s="6"/>
      <c r="F22" s="5">
        <f>+SUM(E20:E21)-SUM(F20:F21)</f>
        <v>31378.587673611008</v>
      </c>
      <c r="G22" s="3">
        <f t="shared" ref="G22:P22" si="10">+F22-$F$22/48</f>
        <v>30724.867097077444</v>
      </c>
      <c r="H22" s="3">
        <f t="shared" si="10"/>
        <v>30071.14652054388</v>
      </c>
      <c r="I22" s="3">
        <f t="shared" si="10"/>
        <v>29417.425944010316</v>
      </c>
      <c r="J22" s="3">
        <f t="shared" si="10"/>
        <v>28763.705367476752</v>
      </c>
      <c r="K22" s="3">
        <f t="shared" si="10"/>
        <v>28109.984790943188</v>
      </c>
      <c r="L22" s="3">
        <f t="shared" si="10"/>
        <v>27456.264214409624</v>
      </c>
      <c r="M22" s="3">
        <f t="shared" si="10"/>
        <v>26802.543637876061</v>
      </c>
      <c r="N22" s="3">
        <f t="shared" si="10"/>
        <v>26148.823061342497</v>
      </c>
      <c r="O22" s="3">
        <f t="shared" si="10"/>
        <v>25495.102484808933</v>
      </c>
      <c r="P22" s="3">
        <f t="shared" si="10"/>
        <v>24841.381908275369</v>
      </c>
      <c r="Q22" s="3">
        <f t="shared" ref="Q22:R22" si="11">+P22-$F$22/12</f>
        <v>22226.499602141117</v>
      </c>
      <c r="R22" s="3">
        <f t="shared" si="11"/>
        <v>19611.617296006865</v>
      </c>
      <c r="S22" s="3"/>
      <c r="T22" s="3"/>
      <c r="U22" s="3"/>
      <c r="V22" s="3"/>
      <c r="W22" s="3"/>
      <c r="X22" s="3"/>
      <c r="Y22" s="3"/>
      <c r="Z22" s="3"/>
      <c r="AA22" s="6"/>
      <c r="AB22" s="5">
        <f t="shared" si="6"/>
        <v>-61540.988250144597</v>
      </c>
      <c r="AC22" s="6" t="s">
        <v>8</v>
      </c>
      <c r="AD22" s="31">
        <f t="shared" ref="AD22:AD30" si="12">+-AF22-AE22+AF22</f>
        <v>-29508.68</v>
      </c>
      <c r="AE22" s="3">
        <v>29508.68</v>
      </c>
      <c r="AF22" s="5">
        <v>32032.308250144597</v>
      </c>
      <c r="AG22" s="5">
        <v>1475434</v>
      </c>
      <c r="AH22" s="3">
        <f t="shared" si="7"/>
        <v>-17700</v>
      </c>
      <c r="AI22" s="18"/>
      <c r="AJ22" s="10">
        <f t="shared" si="8"/>
        <v>-47208.68</v>
      </c>
      <c r="AK22" s="30">
        <f t="shared" si="9"/>
        <v>0.02</v>
      </c>
      <c r="AO22" s="3"/>
      <c r="AP22" s="6"/>
      <c r="AQ22" s="7"/>
      <c r="AR22" s="3"/>
      <c r="AS22" s="5"/>
      <c r="AT22" s="5"/>
      <c r="AU22" s="3"/>
      <c r="AV22" s="3"/>
      <c r="AW22" s="5"/>
    </row>
    <row r="23" spans="2:49" x14ac:dyDescent="0.35">
      <c r="B23" s="6" t="s">
        <v>8</v>
      </c>
      <c r="C23" s="6"/>
      <c r="D23" s="6"/>
      <c r="E23" s="6"/>
      <c r="F23" s="6"/>
      <c r="G23" s="5">
        <f>+SUM(F20:F22)-SUM(G20:G22)</f>
        <v>32032.30825014459</v>
      </c>
      <c r="H23" s="3">
        <f t="shared" ref="H23:P23" si="13">+G23-$G$23/48</f>
        <v>31364.968494933244</v>
      </c>
      <c r="I23" s="3">
        <f t="shared" si="13"/>
        <v>30697.628739721898</v>
      </c>
      <c r="J23" s="3">
        <f t="shared" si="13"/>
        <v>30030.288984510553</v>
      </c>
      <c r="K23" s="3">
        <f t="shared" si="13"/>
        <v>29362.949229299207</v>
      </c>
      <c r="L23" s="3">
        <f t="shared" si="13"/>
        <v>28695.609474087862</v>
      </c>
      <c r="M23" s="3">
        <f t="shared" si="13"/>
        <v>28028.269718876516</v>
      </c>
      <c r="N23" s="3">
        <f t="shared" si="13"/>
        <v>27360.92996366517</v>
      </c>
      <c r="O23" s="3">
        <f t="shared" si="13"/>
        <v>26693.590208453825</v>
      </c>
      <c r="P23" s="3">
        <f t="shared" si="13"/>
        <v>26026.250453242479</v>
      </c>
      <c r="Q23" s="3">
        <f t="shared" ref="Q23:S23" si="14">+P23-$G$23/12</f>
        <v>23356.891432397097</v>
      </c>
      <c r="R23" s="3">
        <f t="shared" si="14"/>
        <v>20687.532411551714</v>
      </c>
      <c r="S23" s="3">
        <f t="shared" si="14"/>
        <v>18018.173390706332</v>
      </c>
      <c r="T23" s="6"/>
      <c r="U23" s="6"/>
      <c r="V23" s="6"/>
      <c r="W23" s="6"/>
      <c r="X23" s="6"/>
      <c r="Y23" s="6"/>
      <c r="Z23" s="6"/>
      <c r="AA23" s="6"/>
      <c r="AB23" s="5">
        <f t="shared" si="6"/>
        <v>-62208.328005355943</v>
      </c>
      <c r="AC23" s="6" t="s">
        <v>9</v>
      </c>
      <c r="AD23" s="31">
        <f t="shared" si="12"/>
        <v>-29508.68</v>
      </c>
      <c r="AE23" s="3">
        <v>29508.68</v>
      </c>
      <c r="AF23" s="5">
        <v>32699.648005355943</v>
      </c>
      <c r="AG23" s="5">
        <v>1475434</v>
      </c>
      <c r="AH23" s="3">
        <f t="shared" si="7"/>
        <v>-17700</v>
      </c>
      <c r="AI23" s="18"/>
      <c r="AJ23" s="10">
        <f t="shared" si="8"/>
        <v>-47208.68</v>
      </c>
      <c r="AK23" s="30">
        <f t="shared" si="9"/>
        <v>0.02</v>
      </c>
      <c r="AP23" s="6"/>
      <c r="AQ23" s="7"/>
      <c r="AR23" s="3"/>
      <c r="AS23" s="5"/>
      <c r="AT23" s="5"/>
      <c r="AU23" s="3"/>
      <c r="AV23" s="3"/>
      <c r="AW23" s="5"/>
    </row>
    <row r="24" spans="2:49" x14ac:dyDescent="0.35">
      <c r="B24" s="6" t="s">
        <v>9</v>
      </c>
      <c r="C24" s="6"/>
      <c r="D24" s="6"/>
      <c r="E24" s="6"/>
      <c r="F24" s="6"/>
      <c r="G24" s="6"/>
      <c r="H24" s="5">
        <f>+SUM(G20:G23)-SUM(H20:H23)</f>
        <v>32699.648005355848</v>
      </c>
      <c r="I24" s="3">
        <f t="shared" ref="I24:P24" si="15">+H24-$H$24/48</f>
        <v>32018.405338577602</v>
      </c>
      <c r="J24" s="3">
        <f t="shared" si="15"/>
        <v>31337.162671799357</v>
      </c>
      <c r="K24" s="3">
        <f t="shared" si="15"/>
        <v>30655.920005021111</v>
      </c>
      <c r="L24" s="3">
        <f t="shared" si="15"/>
        <v>29974.677338242866</v>
      </c>
      <c r="M24" s="3">
        <f t="shared" si="15"/>
        <v>29293.43467146462</v>
      </c>
      <c r="N24" s="3">
        <f t="shared" si="15"/>
        <v>28612.192004686374</v>
      </c>
      <c r="O24" s="3">
        <f t="shared" si="15"/>
        <v>27930.949337908129</v>
      </c>
      <c r="P24" s="3">
        <f t="shared" si="15"/>
        <v>27249.706671129883</v>
      </c>
      <c r="Q24" s="3">
        <f t="shared" ref="Q24:T24" si="16">+P24-$H$24/12</f>
        <v>24524.736004016897</v>
      </c>
      <c r="R24" s="3">
        <f t="shared" si="16"/>
        <v>21799.765336903911</v>
      </c>
      <c r="S24" s="3">
        <f t="shared" si="16"/>
        <v>19074.794669790925</v>
      </c>
      <c r="T24" s="3">
        <f t="shared" si="16"/>
        <v>16349.824002677937</v>
      </c>
      <c r="U24" s="6"/>
      <c r="V24" s="6"/>
      <c r="W24" s="6"/>
      <c r="X24" s="6"/>
      <c r="Y24" s="6"/>
      <c r="Z24" s="6"/>
      <c r="AA24" s="6"/>
      <c r="AB24" s="5">
        <f t="shared" si="6"/>
        <v>-62889.570672134192</v>
      </c>
      <c r="AC24" s="6" t="s">
        <v>10</v>
      </c>
      <c r="AD24" s="31">
        <f t="shared" si="12"/>
        <v>-29508.68</v>
      </c>
      <c r="AE24" s="3">
        <v>29508.68</v>
      </c>
      <c r="AF24" s="5">
        <v>33380.890672134192</v>
      </c>
      <c r="AG24" s="5">
        <v>1475434</v>
      </c>
      <c r="AH24" s="3">
        <f t="shared" si="7"/>
        <v>-17700</v>
      </c>
      <c r="AI24" s="18"/>
      <c r="AJ24" s="10">
        <f t="shared" si="8"/>
        <v>-47208.68</v>
      </c>
      <c r="AK24" s="30">
        <f t="shared" si="9"/>
        <v>0.02</v>
      </c>
      <c r="AP24" s="6"/>
      <c r="AQ24" s="7"/>
      <c r="AR24" s="3"/>
      <c r="AS24" s="5"/>
      <c r="AT24" s="5"/>
      <c r="AU24" s="3"/>
      <c r="AV24" s="3"/>
      <c r="AW24" s="5"/>
    </row>
    <row r="25" spans="2:49" x14ac:dyDescent="0.35">
      <c r="B25" s="6" t="s">
        <v>10</v>
      </c>
      <c r="C25" s="6"/>
      <c r="D25" s="6"/>
      <c r="E25" s="6"/>
      <c r="F25" s="6"/>
      <c r="G25" s="6"/>
      <c r="H25" s="6"/>
      <c r="I25" s="5">
        <f>+SUM(H20:H24)-SUM(I20:I24)</f>
        <v>33380.890672134236</v>
      </c>
      <c r="J25" s="3">
        <f t="shared" ref="J25:P25" si="17">+I25-$I$25/48</f>
        <v>32685.455449798104</v>
      </c>
      <c r="K25" s="3">
        <f t="shared" si="17"/>
        <v>31990.020227461973</v>
      </c>
      <c r="L25" s="3">
        <f t="shared" si="17"/>
        <v>31294.585005125842</v>
      </c>
      <c r="M25" s="3">
        <f t="shared" si="17"/>
        <v>30599.149782789711</v>
      </c>
      <c r="N25" s="3">
        <f t="shared" si="17"/>
        <v>29903.71456045358</v>
      </c>
      <c r="O25" s="3">
        <f t="shared" si="17"/>
        <v>29208.279338117449</v>
      </c>
      <c r="P25" s="3">
        <f t="shared" si="17"/>
        <v>28512.844115781318</v>
      </c>
      <c r="Q25" s="3">
        <f t="shared" ref="Q25:U25" si="18">+P25-$I$25/12</f>
        <v>25731.103226436797</v>
      </c>
      <c r="R25" s="3">
        <f t="shared" si="18"/>
        <v>22949.362337092276</v>
      </c>
      <c r="S25" s="3">
        <f t="shared" si="18"/>
        <v>20167.621447747755</v>
      </c>
      <c r="T25" s="3">
        <f t="shared" si="18"/>
        <v>17385.880558403234</v>
      </c>
      <c r="U25" s="3">
        <f t="shared" si="18"/>
        <v>14604.139669058715</v>
      </c>
      <c r="V25" s="6"/>
      <c r="W25" s="6"/>
      <c r="X25" s="6"/>
      <c r="Y25" s="6"/>
      <c r="Z25" s="6"/>
      <c r="AA25" s="6"/>
      <c r="AB25" s="5">
        <f t="shared" si="6"/>
        <v>-63585.005894470327</v>
      </c>
      <c r="AC25" s="6" t="s">
        <v>11</v>
      </c>
      <c r="AD25" s="31">
        <f t="shared" si="12"/>
        <v>-29508.68</v>
      </c>
      <c r="AE25" s="3">
        <v>29508.68</v>
      </c>
      <c r="AF25" s="5">
        <v>34076.325894470327</v>
      </c>
      <c r="AG25" s="5">
        <v>1475434</v>
      </c>
      <c r="AH25" s="3">
        <f t="shared" si="7"/>
        <v>-17700</v>
      </c>
      <c r="AI25" s="18"/>
      <c r="AJ25" s="10">
        <f t="shared" si="8"/>
        <v>-47208.68</v>
      </c>
      <c r="AK25" s="30">
        <f t="shared" si="9"/>
        <v>0.02</v>
      </c>
      <c r="AP25" s="6"/>
      <c r="AQ25" s="7"/>
      <c r="AR25" s="3"/>
      <c r="AS25" s="5"/>
      <c r="AT25" s="5"/>
      <c r="AU25" s="3"/>
      <c r="AV25" s="3"/>
      <c r="AW25" s="5"/>
    </row>
    <row r="26" spans="2:49" x14ac:dyDescent="0.35">
      <c r="B26" s="6" t="s">
        <v>11</v>
      </c>
      <c r="C26" s="6"/>
      <c r="D26" s="6"/>
      <c r="E26" s="6"/>
      <c r="F26" s="6"/>
      <c r="G26" s="6"/>
      <c r="H26" s="6"/>
      <c r="I26" s="6"/>
      <c r="J26" s="5">
        <f>+SUM(I20:I25)-SUM(J20:J25)</f>
        <v>34076.325894470559</v>
      </c>
      <c r="K26" s="3">
        <f t="shared" ref="K26:P26" si="19">+J26-$J$26/48</f>
        <v>33366.402438335754</v>
      </c>
      <c r="L26" s="3">
        <f t="shared" si="19"/>
        <v>32656.478982200952</v>
      </c>
      <c r="M26" s="3">
        <f t="shared" si="19"/>
        <v>31946.555526066149</v>
      </c>
      <c r="N26" s="3">
        <f t="shared" si="19"/>
        <v>31236.632069931347</v>
      </c>
      <c r="O26" s="3">
        <f t="shared" si="19"/>
        <v>30526.708613796545</v>
      </c>
      <c r="P26" s="3">
        <f t="shared" si="19"/>
        <v>29816.785157661743</v>
      </c>
      <c r="Q26" s="3">
        <f t="shared" ref="Q26:V26" si="20">+P26-$J$26/12</f>
        <v>26977.091333122531</v>
      </c>
      <c r="R26" s="3">
        <f t="shared" si="20"/>
        <v>24137.397508583319</v>
      </c>
      <c r="S26" s="3">
        <f t="shared" si="20"/>
        <v>21297.703684044107</v>
      </c>
      <c r="T26" s="3">
        <f t="shared" si="20"/>
        <v>18458.009859504895</v>
      </c>
      <c r="U26" s="3">
        <f t="shared" si="20"/>
        <v>15618.316034965681</v>
      </c>
      <c r="V26" s="3">
        <f t="shared" si="20"/>
        <v>12778.622210426467</v>
      </c>
      <c r="W26" s="6"/>
      <c r="X26" s="6"/>
      <c r="Y26" s="6"/>
      <c r="Z26" s="6"/>
      <c r="AA26" s="6"/>
      <c r="AB26" s="5">
        <f t="shared" si="6"/>
        <v>-64294.929350605133</v>
      </c>
      <c r="AC26" s="6" t="s">
        <v>12</v>
      </c>
      <c r="AD26" s="31">
        <f t="shared" si="12"/>
        <v>-29508.68</v>
      </c>
      <c r="AE26" s="3">
        <v>29508.68</v>
      </c>
      <c r="AF26" s="5">
        <v>34786.249350605132</v>
      </c>
      <c r="AG26" s="5">
        <v>1475434</v>
      </c>
      <c r="AH26" s="3">
        <f t="shared" si="7"/>
        <v>-17700</v>
      </c>
      <c r="AI26" s="18"/>
      <c r="AJ26" s="10">
        <f t="shared" si="8"/>
        <v>-47208.68</v>
      </c>
      <c r="AK26" s="30">
        <f t="shared" si="9"/>
        <v>0.02</v>
      </c>
      <c r="AP26" s="6"/>
      <c r="AQ26" s="7"/>
      <c r="AR26" s="3"/>
      <c r="AS26" s="5"/>
      <c r="AT26" s="5"/>
      <c r="AU26" s="3"/>
      <c r="AV26" s="3"/>
      <c r="AW26" s="5"/>
    </row>
    <row r="27" spans="2:49" x14ac:dyDescent="0.35">
      <c r="B27" s="6" t="s">
        <v>12</v>
      </c>
      <c r="C27" s="6"/>
      <c r="D27" s="6"/>
      <c r="E27" s="6"/>
      <c r="F27" s="6"/>
      <c r="G27" s="6"/>
      <c r="H27" s="6"/>
      <c r="I27" s="6"/>
      <c r="J27" s="6"/>
      <c r="K27" s="5">
        <f>+SUM(J20:J26)-SUM(K20:K26)</f>
        <v>34786.249350604834</v>
      </c>
      <c r="L27" s="3">
        <f>+K27-$K$27/48</f>
        <v>34061.535822467231</v>
      </c>
      <c r="M27" s="3">
        <f>+L27-$K$27/48</f>
        <v>33336.822294329628</v>
      </c>
      <c r="N27" s="3">
        <f>+M27-$K$27/48</f>
        <v>32612.108766192028</v>
      </c>
      <c r="O27" s="3">
        <f>+N27-$K$27/48</f>
        <v>31887.395238054429</v>
      </c>
      <c r="P27" s="3">
        <f>+O27-$K$27/48</f>
        <v>31162.681709916829</v>
      </c>
      <c r="Q27" s="3">
        <f t="shared" ref="Q27:W27" si="21">+P27-$K$27/12</f>
        <v>28263.827597366428</v>
      </c>
      <c r="R27" s="3">
        <f t="shared" si="21"/>
        <v>25364.973484816026</v>
      </c>
      <c r="S27" s="3">
        <f t="shared" si="21"/>
        <v>22466.119372265624</v>
      </c>
      <c r="T27" s="3">
        <f t="shared" si="21"/>
        <v>19567.265259715223</v>
      </c>
      <c r="U27" s="3">
        <f t="shared" si="21"/>
        <v>16668.411147164821</v>
      </c>
      <c r="V27" s="3">
        <f t="shared" si="21"/>
        <v>13769.557034614418</v>
      </c>
      <c r="W27" s="3">
        <f t="shared" si="21"/>
        <v>10870.702922064014</v>
      </c>
      <c r="X27" s="6"/>
      <c r="Y27" s="6"/>
      <c r="Z27" s="6"/>
      <c r="AA27" s="6"/>
      <c r="AB27" s="5">
        <f t="shared" si="6"/>
        <v>-65019.642878742728</v>
      </c>
      <c r="AC27" s="6" t="s">
        <v>13</v>
      </c>
      <c r="AD27" s="31">
        <f t="shared" si="12"/>
        <v>-29508.68</v>
      </c>
      <c r="AE27" s="3">
        <v>29508.68</v>
      </c>
      <c r="AF27" s="5">
        <v>35510.962878742728</v>
      </c>
      <c r="AG27" s="5">
        <v>1475434</v>
      </c>
      <c r="AH27" s="3">
        <f t="shared" si="7"/>
        <v>-17700</v>
      </c>
      <c r="AI27" s="18"/>
      <c r="AJ27" s="10">
        <f t="shared" si="8"/>
        <v>-47208.68</v>
      </c>
      <c r="AK27" s="30">
        <f t="shared" si="9"/>
        <v>0.02</v>
      </c>
      <c r="AP27" s="6"/>
      <c r="AQ27" s="7"/>
      <c r="AR27" s="3"/>
      <c r="AS27" s="5"/>
      <c r="AT27" s="5"/>
      <c r="AU27" s="3"/>
      <c r="AV27" s="3"/>
      <c r="AW27" s="5"/>
    </row>
    <row r="28" spans="2:49" x14ac:dyDescent="0.35">
      <c r="B28" s="6" t="s">
        <v>13</v>
      </c>
      <c r="C28" s="6"/>
      <c r="D28" s="6"/>
      <c r="E28" s="6"/>
      <c r="F28" s="6"/>
      <c r="G28" s="6"/>
      <c r="H28" s="6"/>
      <c r="I28" s="6"/>
      <c r="J28" s="6"/>
      <c r="K28" s="6"/>
      <c r="L28" s="5">
        <f>+SUM(K20:K27)-SUM(L20:L27)</f>
        <v>35510.962878743419</v>
      </c>
      <c r="M28" s="3">
        <f>+L28-$L$28/48</f>
        <v>34771.151152102932</v>
      </c>
      <c r="N28" s="3">
        <f>+M28-$L$28/48</f>
        <v>34031.339425462444</v>
      </c>
      <c r="O28" s="3">
        <f>+N28-$L$28/48</f>
        <v>33291.527698821956</v>
      </c>
      <c r="P28" s="3">
        <f>+O28-$L$28/48</f>
        <v>32551.715972181468</v>
      </c>
      <c r="Q28" s="3">
        <f t="shared" ref="Q28:W28" si="22">+P28-$L$28/12</f>
        <v>29592.469065619516</v>
      </c>
      <c r="R28" s="3">
        <f t="shared" si="22"/>
        <v>26633.222159057565</v>
      </c>
      <c r="S28" s="3">
        <f t="shared" si="22"/>
        <v>23673.975252495613</v>
      </c>
      <c r="T28" s="3">
        <f t="shared" si="22"/>
        <v>20714.728345933661</v>
      </c>
      <c r="U28" s="3">
        <f t="shared" si="22"/>
        <v>17755.48143937171</v>
      </c>
      <c r="V28" s="3">
        <f t="shared" si="22"/>
        <v>14796.234532809758</v>
      </c>
      <c r="W28" s="3">
        <f t="shared" si="22"/>
        <v>11836.987626247806</v>
      </c>
      <c r="X28" s="3">
        <f>+W28-$L$28/12</f>
        <v>8877.7407196858549</v>
      </c>
      <c r="Y28" s="6"/>
      <c r="Z28" s="6"/>
      <c r="AA28" s="6"/>
      <c r="AB28" s="5">
        <f t="shared" si="6"/>
        <v>-65759.454605383216</v>
      </c>
      <c r="AC28" s="6" t="s">
        <v>14</v>
      </c>
      <c r="AD28" s="31">
        <f t="shared" si="12"/>
        <v>-29508.68</v>
      </c>
      <c r="AE28" s="3">
        <v>29508.68</v>
      </c>
      <c r="AF28" s="5">
        <v>36250.774605383216</v>
      </c>
      <c r="AG28" s="5">
        <v>1475434</v>
      </c>
      <c r="AH28" s="3">
        <f t="shared" si="7"/>
        <v>-17700</v>
      </c>
      <c r="AI28" s="18"/>
      <c r="AJ28" s="10">
        <f t="shared" si="8"/>
        <v>-47208.68</v>
      </c>
      <c r="AK28" s="30">
        <f t="shared" si="9"/>
        <v>0.02</v>
      </c>
      <c r="AP28" s="6"/>
      <c r="AQ28" s="7"/>
      <c r="AR28" s="3"/>
      <c r="AS28" s="5"/>
      <c r="AT28" s="5"/>
      <c r="AU28" s="3"/>
      <c r="AV28" s="3"/>
      <c r="AW28" s="5"/>
    </row>
    <row r="29" spans="2:49" x14ac:dyDescent="0.35">
      <c r="B29" s="6" t="s">
        <v>14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5">
        <f>+SUM(L20:L28)-SUM(M20:M28)</f>
        <v>36250.7746053827</v>
      </c>
      <c r="N29" s="3">
        <f>+M29-$M$29/48</f>
        <v>35495.550134437224</v>
      </c>
      <c r="O29" s="3">
        <f>+N29-$M$29/48</f>
        <v>34740.325663491749</v>
      </c>
      <c r="P29" s="3">
        <f>+O29-$M$29/48</f>
        <v>33985.101192546274</v>
      </c>
      <c r="Q29" s="3">
        <f t="shared" ref="Q29:Y29" si="23">+P29-$M$29/12</f>
        <v>30964.203308764383</v>
      </c>
      <c r="R29" s="3">
        <f t="shared" si="23"/>
        <v>27943.305424982493</v>
      </c>
      <c r="S29" s="3">
        <f t="shared" si="23"/>
        <v>24922.407541200602</v>
      </c>
      <c r="T29" s="3">
        <f t="shared" si="23"/>
        <v>21901.509657418712</v>
      </c>
      <c r="U29" s="3">
        <f t="shared" si="23"/>
        <v>18880.611773636821</v>
      </c>
      <c r="V29" s="3">
        <f t="shared" si="23"/>
        <v>15859.713889854929</v>
      </c>
      <c r="W29" s="3">
        <f t="shared" si="23"/>
        <v>12838.816006073037</v>
      </c>
      <c r="X29" s="3">
        <f t="shared" si="23"/>
        <v>9817.9181222911448</v>
      </c>
      <c r="Y29" s="3">
        <f t="shared" si="23"/>
        <v>6797.0202385092525</v>
      </c>
      <c r="Z29" s="6"/>
      <c r="AA29" s="6"/>
      <c r="AB29" s="5">
        <f t="shared" si="6"/>
        <v>-66514.679076328684</v>
      </c>
      <c r="AC29" s="6" t="s">
        <v>15</v>
      </c>
      <c r="AD29" s="31">
        <f t="shared" si="12"/>
        <v>-29508.68</v>
      </c>
      <c r="AE29" s="3">
        <v>29508.68</v>
      </c>
      <c r="AF29" s="5">
        <v>37005.999076328684</v>
      </c>
      <c r="AG29" s="5">
        <v>1475434</v>
      </c>
      <c r="AH29" s="3">
        <f t="shared" si="7"/>
        <v>-17700</v>
      </c>
      <c r="AI29" s="18"/>
      <c r="AJ29" s="10">
        <f t="shared" si="8"/>
        <v>-47208.68</v>
      </c>
      <c r="AK29" s="30">
        <f t="shared" si="9"/>
        <v>0.02</v>
      </c>
      <c r="AP29" s="6"/>
      <c r="AQ29" s="7"/>
      <c r="AR29" s="3"/>
      <c r="AS29" s="5"/>
      <c r="AT29" s="5"/>
      <c r="AU29" s="3"/>
      <c r="AV29" s="3"/>
      <c r="AW29" s="5"/>
    </row>
    <row r="30" spans="2:49" x14ac:dyDescent="0.35">
      <c r="B30" s="6" t="s">
        <v>15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5">
        <f>+SUM(M20:M29)-SUM(N20:N29)</f>
        <v>37005.999076328473</v>
      </c>
      <c r="O30" s="3">
        <f>+N30-$N$30/48</f>
        <v>36235.040762238299</v>
      </c>
      <c r="P30" s="3">
        <f>+O30-$N$30/48</f>
        <v>35464.082448148125</v>
      </c>
      <c r="Q30" s="3">
        <f t="shared" ref="Q30:Z30" si="24">+P30-$N$30/12</f>
        <v>32380.249191787418</v>
      </c>
      <c r="R30" s="3">
        <f t="shared" si="24"/>
        <v>29296.41593542671</v>
      </c>
      <c r="S30" s="3">
        <f t="shared" si="24"/>
        <v>26212.582679066003</v>
      </c>
      <c r="T30" s="3">
        <f t="shared" si="24"/>
        <v>23128.749422705296</v>
      </c>
      <c r="U30" s="3">
        <f t="shared" si="24"/>
        <v>20044.916166344588</v>
      </c>
      <c r="V30" s="3">
        <f t="shared" si="24"/>
        <v>16961.082909983881</v>
      </c>
      <c r="W30" s="3">
        <f t="shared" si="24"/>
        <v>13877.249653623176</v>
      </c>
      <c r="X30" s="3">
        <f t="shared" si="24"/>
        <v>10793.41639726247</v>
      </c>
      <c r="Y30" s="3">
        <f t="shared" si="24"/>
        <v>7709.5831409017646</v>
      </c>
      <c r="Z30" s="3">
        <f t="shared" si="24"/>
        <v>4625.7498845410591</v>
      </c>
      <c r="AA30" s="6"/>
      <c r="AB30" s="5">
        <f t="shared" si="6"/>
        <v>-67285.637390418851</v>
      </c>
      <c r="AC30" s="6" t="s">
        <v>16</v>
      </c>
      <c r="AD30" s="31">
        <f t="shared" si="12"/>
        <v>-29508.679999999993</v>
      </c>
      <c r="AE30" s="3">
        <v>29508.68</v>
      </c>
      <c r="AF30" s="5">
        <v>37776.957390418858</v>
      </c>
      <c r="AG30" s="5">
        <v>1475434</v>
      </c>
      <c r="AH30" s="3">
        <f t="shared" si="7"/>
        <v>-17700</v>
      </c>
      <c r="AI30" s="18"/>
      <c r="AJ30" s="10">
        <f t="shared" si="8"/>
        <v>-47208.679999999993</v>
      </c>
      <c r="AK30" s="30">
        <f t="shared" si="9"/>
        <v>0.02</v>
      </c>
      <c r="AP30" s="6"/>
      <c r="AQ30" s="7"/>
      <c r="AR30" s="3"/>
      <c r="AS30" s="5"/>
      <c r="AT30" s="5"/>
      <c r="AU30" s="3"/>
      <c r="AV30" s="3"/>
      <c r="AW30" s="5"/>
    </row>
    <row r="31" spans="2:49" x14ac:dyDescent="0.35">
      <c r="B31" s="6" t="s">
        <v>16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5">
        <f>+SUM(N20:N30)-SUM(O20:O30)</f>
        <v>37776.957390418975</v>
      </c>
      <c r="P31" s="3">
        <f>+O31-$O$31/48</f>
        <v>36989.937444785246</v>
      </c>
      <c r="Q31" s="3">
        <f t="shared" ref="Q31:Z31" si="25">+P31-$O$31/12</f>
        <v>33841.857662250331</v>
      </c>
      <c r="R31" s="3">
        <f t="shared" si="25"/>
        <v>30693.777879715417</v>
      </c>
      <c r="S31" s="3">
        <f t="shared" si="25"/>
        <v>27545.698097180502</v>
      </c>
      <c r="T31" s="3">
        <f t="shared" si="25"/>
        <v>24397.618314645588</v>
      </c>
      <c r="U31" s="3">
        <f t="shared" si="25"/>
        <v>21249.538532110673</v>
      </c>
      <c r="V31" s="3">
        <f t="shared" si="25"/>
        <v>18101.458749575759</v>
      </c>
      <c r="W31" s="3">
        <f t="shared" si="25"/>
        <v>14953.378967040844</v>
      </c>
      <c r="X31" s="3">
        <f t="shared" si="25"/>
        <v>11805.29918450593</v>
      </c>
      <c r="Y31" s="3">
        <f t="shared" si="25"/>
        <v>8657.219401971015</v>
      </c>
      <c r="Z31" s="3">
        <f t="shared" si="25"/>
        <v>5509.1396194361005</v>
      </c>
      <c r="AA31" s="6"/>
      <c r="AB31" s="5">
        <f t="shared" si="6"/>
        <v>-1504942.68</v>
      </c>
      <c r="AC31" s="6" t="s">
        <v>17</v>
      </c>
      <c r="AD31" s="31">
        <f t="shared" ref="AD31" si="26">+-AF31-AE31</f>
        <v>-1504942.68</v>
      </c>
      <c r="AE31" s="3">
        <v>29508.68</v>
      </c>
      <c r="AF31" s="5">
        <v>1475434</v>
      </c>
      <c r="AG31" s="5">
        <v>1475434</v>
      </c>
      <c r="AH31" s="3">
        <f t="shared" si="7"/>
        <v>-17700</v>
      </c>
      <c r="AI31" s="18"/>
      <c r="AJ31" s="10">
        <f t="shared" si="8"/>
        <v>-1522642.68</v>
      </c>
      <c r="AK31" s="5">
        <f>+AVERAGE(AG19:AG30)</f>
        <v>1475434</v>
      </c>
      <c r="AL31" s="5"/>
      <c r="AM31" s="5"/>
      <c r="AN31" s="5"/>
      <c r="AO31" s="5"/>
      <c r="AP31" s="5"/>
      <c r="AQ31" s="2"/>
      <c r="AR31" s="2"/>
      <c r="AS31" s="13"/>
      <c r="AT31" s="5"/>
      <c r="AU31" s="3"/>
      <c r="AV31" s="3"/>
      <c r="AW31" s="5"/>
    </row>
    <row r="32" spans="2:49" x14ac:dyDescent="0.35">
      <c r="B32" s="6" t="s">
        <v>17</v>
      </c>
      <c r="C32" s="6"/>
      <c r="P32" s="5">
        <f>+SUM(O20:O31)-SUM(P20:P31)</f>
        <v>38563.977336052572</v>
      </c>
      <c r="AE32" s="5">
        <f>+SUM(AE20:AE31)</f>
        <v>354104.16</v>
      </c>
      <c r="AG32" s="5">
        <f>+AVERAGE(AG19:AG31)</f>
        <v>1475434</v>
      </c>
      <c r="AK32" s="30">
        <f>+AE32/AG32</f>
        <v>0.24</v>
      </c>
    </row>
    <row r="33" spans="2:37" x14ac:dyDescent="0.35">
      <c r="AK33" s="30"/>
    </row>
    <row r="34" spans="2:37" x14ac:dyDescent="0.35">
      <c r="P34" s="5"/>
    </row>
    <row r="35" spans="2:37" hidden="1" x14ac:dyDescent="0.35">
      <c r="B35" s="26" t="s">
        <v>105</v>
      </c>
      <c r="C35" s="26"/>
      <c r="D35" s="27">
        <f>+SUM(D36:D48)</f>
        <v>0</v>
      </c>
      <c r="E35" s="27">
        <f t="shared" ref="E35:P35" si="27">+SUM(E36:E48)</f>
        <v>-30738.208333333256</v>
      </c>
      <c r="F35" s="27">
        <f t="shared" si="27"/>
        <v>-31378.587673611033</v>
      </c>
      <c r="G35" s="27">
        <f t="shared" si="27"/>
        <v>-32032.308250144597</v>
      </c>
      <c r="H35" s="27">
        <f t="shared" si="27"/>
        <v>-32699.648005355943</v>
      </c>
      <c r="I35" s="27">
        <f t="shared" si="27"/>
        <v>-33380.890672134192</v>
      </c>
      <c r="J35" s="27">
        <f t="shared" si="27"/>
        <v>-34076.325894470327</v>
      </c>
      <c r="K35" s="27">
        <f t="shared" si="27"/>
        <v>-34786.249350605132</v>
      </c>
      <c r="L35" s="27">
        <f t="shared" si="27"/>
        <v>-35510.962878742728</v>
      </c>
      <c r="M35" s="27">
        <f t="shared" si="27"/>
        <v>-36250.774605383216</v>
      </c>
      <c r="N35" s="27">
        <f t="shared" si="27"/>
        <v>-37005.999076328684</v>
      </c>
      <c r="O35" s="27">
        <f t="shared" si="27"/>
        <v>-37776.957390418858</v>
      </c>
      <c r="P35" s="27">
        <f t="shared" si="27"/>
        <v>-1475434</v>
      </c>
    </row>
    <row r="36" spans="2:37" hidden="1" x14ac:dyDescent="0.35">
      <c r="B36" s="6" t="s">
        <v>6</v>
      </c>
      <c r="C36" s="6"/>
      <c r="E36" s="24">
        <f>+E20-D20</f>
        <v>-30738.208333333256</v>
      </c>
      <c r="F36" s="24">
        <f t="shared" ref="F36:O41" si="28">+F20-E20</f>
        <v>-30738.208333333256</v>
      </c>
      <c r="G36" s="24">
        <f t="shared" si="28"/>
        <v>-30738.208333333256</v>
      </c>
      <c r="H36" s="24">
        <f t="shared" si="28"/>
        <v>-30738.208333333256</v>
      </c>
      <c r="I36" s="24">
        <f t="shared" si="28"/>
        <v>-30738.208333333256</v>
      </c>
      <c r="J36" s="24">
        <f t="shared" si="28"/>
        <v>-30738.208333333256</v>
      </c>
      <c r="K36" s="24">
        <f t="shared" si="28"/>
        <v>-30738.208333333256</v>
      </c>
      <c r="L36" s="24">
        <f t="shared" si="28"/>
        <v>-30738.208333333256</v>
      </c>
      <c r="M36" s="24">
        <f t="shared" si="28"/>
        <v>-30738.208333333256</v>
      </c>
      <c r="N36" s="24">
        <f t="shared" si="28"/>
        <v>-30738.208333333256</v>
      </c>
      <c r="O36" s="24">
        <f t="shared" si="28"/>
        <v>-30738.208333333256</v>
      </c>
      <c r="P36" s="24"/>
    </row>
    <row r="37" spans="2:37" hidden="1" x14ac:dyDescent="0.35">
      <c r="B37" s="6" t="s">
        <v>7</v>
      </c>
      <c r="C37" s="6"/>
      <c r="E37" s="24"/>
      <c r="F37" s="24">
        <f t="shared" si="28"/>
        <v>-640.37934027777737</v>
      </c>
      <c r="G37" s="24">
        <f t="shared" si="28"/>
        <v>-640.37934027777737</v>
      </c>
      <c r="H37" s="24">
        <f t="shared" si="28"/>
        <v>-640.37934027777737</v>
      </c>
      <c r="I37" s="24">
        <f t="shared" si="28"/>
        <v>-640.37934027777737</v>
      </c>
      <c r="J37" s="24">
        <f t="shared" si="28"/>
        <v>-640.37934027777737</v>
      </c>
      <c r="K37" s="24">
        <f t="shared" si="28"/>
        <v>-640.37934027777737</v>
      </c>
      <c r="L37" s="24">
        <f t="shared" si="28"/>
        <v>-640.37934027777737</v>
      </c>
      <c r="M37" s="24">
        <f t="shared" si="28"/>
        <v>-640.37934027777737</v>
      </c>
      <c r="N37" s="24">
        <f t="shared" si="28"/>
        <v>-640.37934027777737</v>
      </c>
      <c r="O37" s="24">
        <f t="shared" si="28"/>
        <v>-640.37934027777737</v>
      </c>
      <c r="P37" s="24"/>
    </row>
    <row r="38" spans="2:37" hidden="1" x14ac:dyDescent="0.35">
      <c r="B38" s="6" t="s">
        <v>8</v>
      </c>
      <c r="C38" s="6"/>
      <c r="E38" s="24">
        <f t="shared" ref="E38:I47" si="29">+E22-D22</f>
        <v>0</v>
      </c>
      <c r="F38" s="24"/>
      <c r="G38" s="24">
        <f t="shared" si="28"/>
        <v>-653.72057653356387</v>
      </c>
      <c r="H38" s="24">
        <f t="shared" si="28"/>
        <v>-653.72057653356387</v>
      </c>
      <c r="I38" s="24">
        <f t="shared" si="28"/>
        <v>-653.72057653356387</v>
      </c>
      <c r="J38" s="24">
        <f t="shared" si="28"/>
        <v>-653.72057653356387</v>
      </c>
      <c r="K38" s="24">
        <f t="shared" si="28"/>
        <v>-653.72057653356387</v>
      </c>
      <c r="L38" s="24">
        <f t="shared" si="28"/>
        <v>-653.72057653356387</v>
      </c>
      <c r="M38" s="24">
        <f t="shared" si="28"/>
        <v>-653.72057653356387</v>
      </c>
      <c r="N38" s="24">
        <f t="shared" si="28"/>
        <v>-653.72057653356387</v>
      </c>
      <c r="O38" s="24">
        <f t="shared" si="28"/>
        <v>-653.72057653356387</v>
      </c>
      <c r="P38" s="24"/>
    </row>
    <row r="39" spans="2:37" hidden="1" x14ac:dyDescent="0.35">
      <c r="B39" s="6" t="s">
        <v>9</v>
      </c>
      <c r="C39" s="6"/>
      <c r="E39" s="24">
        <f t="shared" si="29"/>
        <v>0</v>
      </c>
      <c r="F39" s="24">
        <f t="shared" si="29"/>
        <v>0</v>
      </c>
      <c r="G39" s="24"/>
      <c r="H39" s="24">
        <f t="shared" si="28"/>
        <v>-667.33975521134562</v>
      </c>
      <c r="I39" s="24">
        <f t="shared" si="28"/>
        <v>-667.33975521134562</v>
      </c>
      <c r="J39" s="24">
        <f t="shared" si="28"/>
        <v>-667.33975521134562</v>
      </c>
      <c r="K39" s="24">
        <f t="shared" si="28"/>
        <v>-667.33975521134562</v>
      </c>
      <c r="L39" s="24">
        <f t="shared" si="28"/>
        <v>-667.33975521134562</v>
      </c>
      <c r="M39" s="24">
        <f t="shared" si="28"/>
        <v>-667.33975521134562</v>
      </c>
      <c r="N39" s="24">
        <f t="shared" si="28"/>
        <v>-667.33975521134562</v>
      </c>
      <c r="O39" s="24">
        <f t="shared" si="28"/>
        <v>-667.33975521134562</v>
      </c>
      <c r="P39" s="24"/>
    </row>
    <row r="40" spans="2:37" hidden="1" x14ac:dyDescent="0.35">
      <c r="B40" s="6" t="s">
        <v>10</v>
      </c>
      <c r="C40" s="6"/>
      <c r="E40" s="24">
        <f t="shared" si="29"/>
        <v>0</v>
      </c>
      <c r="F40" s="24">
        <f t="shared" si="29"/>
        <v>0</v>
      </c>
      <c r="G40" s="24">
        <f t="shared" si="29"/>
        <v>0</v>
      </c>
      <c r="H40" s="24"/>
      <c r="I40" s="24">
        <f t="shared" si="28"/>
        <v>-681.24266677824562</v>
      </c>
      <c r="J40" s="24">
        <f t="shared" si="28"/>
        <v>-681.24266677824562</v>
      </c>
      <c r="K40" s="24">
        <f t="shared" si="28"/>
        <v>-681.24266677824562</v>
      </c>
      <c r="L40" s="24">
        <f t="shared" si="28"/>
        <v>-681.24266677824562</v>
      </c>
      <c r="M40" s="24">
        <f t="shared" si="28"/>
        <v>-681.24266677824562</v>
      </c>
      <c r="N40" s="24">
        <f t="shared" si="28"/>
        <v>-681.24266677824562</v>
      </c>
      <c r="O40" s="24">
        <f t="shared" si="28"/>
        <v>-681.24266677824562</v>
      </c>
      <c r="P40" s="24"/>
    </row>
    <row r="41" spans="2:37" hidden="1" x14ac:dyDescent="0.35">
      <c r="B41" s="6" t="s">
        <v>11</v>
      </c>
      <c r="C41" s="6"/>
      <c r="E41" s="24">
        <f t="shared" si="29"/>
        <v>0</v>
      </c>
      <c r="F41" s="24">
        <f t="shared" si="29"/>
        <v>0</v>
      </c>
      <c r="G41" s="24">
        <f t="shared" si="29"/>
        <v>0</v>
      </c>
      <c r="H41" s="24">
        <f t="shared" si="29"/>
        <v>0</v>
      </c>
      <c r="I41" s="24"/>
      <c r="J41" s="24">
        <f t="shared" si="28"/>
        <v>-695.43522233613112</v>
      </c>
      <c r="K41" s="24">
        <f t="shared" si="28"/>
        <v>-695.43522233613112</v>
      </c>
      <c r="L41" s="24">
        <f t="shared" si="28"/>
        <v>-695.43522233613112</v>
      </c>
      <c r="M41" s="24">
        <f t="shared" si="28"/>
        <v>-695.43522233613112</v>
      </c>
      <c r="N41" s="24">
        <f t="shared" si="28"/>
        <v>-695.43522233613112</v>
      </c>
      <c r="O41" s="24">
        <f t="shared" si="28"/>
        <v>-695.43522233613112</v>
      </c>
      <c r="P41" s="24"/>
    </row>
    <row r="42" spans="2:37" hidden="1" x14ac:dyDescent="0.35">
      <c r="B42" s="6" t="s">
        <v>12</v>
      </c>
      <c r="C42" s="6"/>
      <c r="E42" s="24">
        <f t="shared" si="29"/>
        <v>0</v>
      </c>
      <c r="F42" s="24">
        <f t="shared" si="29"/>
        <v>0</v>
      </c>
      <c r="G42" s="24">
        <f t="shared" si="29"/>
        <v>0</v>
      </c>
      <c r="H42" s="24">
        <f t="shared" si="29"/>
        <v>0</v>
      </c>
      <c r="I42" s="24">
        <f t="shared" si="29"/>
        <v>0</v>
      </c>
      <c r="J42" s="24"/>
      <c r="K42" s="24">
        <f>+K26-J26</f>
        <v>-709.92345613480575</v>
      </c>
      <c r="L42" s="24">
        <f>+L26-K26</f>
        <v>-709.92345613480211</v>
      </c>
      <c r="M42" s="24">
        <f>+M26-L26</f>
        <v>-709.92345613480211</v>
      </c>
      <c r="N42" s="24">
        <f>+N26-M26</f>
        <v>-709.92345613480211</v>
      </c>
      <c r="O42" s="24">
        <f>+O26-N26</f>
        <v>-709.92345613480211</v>
      </c>
      <c r="P42" s="24"/>
    </row>
    <row r="43" spans="2:37" hidden="1" x14ac:dyDescent="0.35">
      <c r="B43" s="6" t="s">
        <v>13</v>
      </c>
      <c r="C43" s="6"/>
      <c r="E43" s="24">
        <f t="shared" si="29"/>
        <v>0</v>
      </c>
      <c r="F43" s="24">
        <f t="shared" si="29"/>
        <v>0</v>
      </c>
      <c r="G43" s="24">
        <f t="shared" si="29"/>
        <v>0</v>
      </c>
      <c r="H43" s="24">
        <f t="shared" si="29"/>
        <v>0</v>
      </c>
      <c r="I43" s="24">
        <f t="shared" si="29"/>
        <v>0</v>
      </c>
      <c r="J43" s="24">
        <f>+J27-I27</f>
        <v>0</v>
      </c>
      <c r="K43" s="24"/>
      <c r="L43" s="24">
        <f>+L27-K27</f>
        <v>-724.71352813760313</v>
      </c>
      <c r="M43" s="24">
        <f>+M27-L27</f>
        <v>-724.71352813760313</v>
      </c>
      <c r="N43" s="24">
        <f>+N27-M27</f>
        <v>-724.7135281375995</v>
      </c>
      <c r="O43" s="24">
        <f>+O27-N27</f>
        <v>-724.7135281375995</v>
      </c>
      <c r="P43" s="24"/>
    </row>
    <row r="44" spans="2:37" hidden="1" x14ac:dyDescent="0.35">
      <c r="B44" s="6" t="s">
        <v>14</v>
      </c>
      <c r="C44" s="6"/>
      <c r="E44" s="24">
        <f t="shared" si="29"/>
        <v>0</v>
      </c>
      <c r="F44" s="24">
        <f t="shared" si="29"/>
        <v>0</v>
      </c>
      <c r="G44" s="24">
        <f t="shared" si="29"/>
        <v>0</v>
      </c>
      <c r="H44" s="24">
        <f t="shared" si="29"/>
        <v>0</v>
      </c>
      <c r="I44" s="24">
        <f t="shared" si="29"/>
        <v>0</v>
      </c>
      <c r="J44" s="24">
        <f>+J28-I28</f>
        <v>0</v>
      </c>
      <c r="K44" s="24">
        <f>+K28-J28</f>
        <v>0</v>
      </c>
      <c r="L44" s="24"/>
      <c r="M44" s="24">
        <f>+M28-L28</f>
        <v>-739.8117266404879</v>
      </c>
      <c r="N44" s="24">
        <f>+N28-M28</f>
        <v>-739.8117266404879</v>
      </c>
      <c r="O44" s="24">
        <f>+O28-N28</f>
        <v>-739.8117266404879</v>
      </c>
      <c r="P44" s="24"/>
    </row>
    <row r="45" spans="2:37" hidden="1" x14ac:dyDescent="0.35">
      <c r="B45" s="6" t="s">
        <v>15</v>
      </c>
      <c r="C45" s="6"/>
      <c r="E45" s="24">
        <f t="shared" si="29"/>
        <v>0</v>
      </c>
      <c r="F45" s="24">
        <f t="shared" si="29"/>
        <v>0</v>
      </c>
      <c r="G45" s="24">
        <f t="shared" si="29"/>
        <v>0</v>
      </c>
      <c r="H45" s="24">
        <f t="shared" si="29"/>
        <v>0</v>
      </c>
      <c r="I45" s="24">
        <f t="shared" si="29"/>
        <v>0</v>
      </c>
      <c r="J45" s="24">
        <f>+J29-I29</f>
        <v>0</v>
      </c>
      <c r="K45" s="24">
        <f>+K29-J29</f>
        <v>0</v>
      </c>
      <c r="L45" s="24">
        <f>+L29-K29</f>
        <v>0</v>
      </c>
      <c r="M45" s="24"/>
      <c r="N45" s="24">
        <f>+N29-M29</f>
        <v>-755.22447094547533</v>
      </c>
      <c r="O45" s="24">
        <f>+O29-N29</f>
        <v>-755.22447094547533</v>
      </c>
      <c r="P45" s="24"/>
    </row>
    <row r="46" spans="2:37" hidden="1" x14ac:dyDescent="0.35">
      <c r="B46" s="6" t="s">
        <v>16</v>
      </c>
      <c r="C46" s="6"/>
      <c r="E46" s="24">
        <f t="shared" si="29"/>
        <v>0</v>
      </c>
      <c r="F46" s="24">
        <f t="shared" si="29"/>
        <v>0</v>
      </c>
      <c r="G46" s="24">
        <f t="shared" si="29"/>
        <v>0</v>
      </c>
      <c r="H46" s="24">
        <f t="shared" si="29"/>
        <v>0</v>
      </c>
      <c r="I46" s="24">
        <f t="shared" si="29"/>
        <v>0</v>
      </c>
      <c r="J46" s="24">
        <f>+J30-I30</f>
        <v>0</v>
      </c>
      <c r="K46" s="24">
        <f>+K30-J30</f>
        <v>0</v>
      </c>
      <c r="L46" s="24">
        <f>+L30-K30</f>
        <v>0</v>
      </c>
      <c r="M46" s="24">
        <f>+M30-L30</f>
        <v>0</v>
      </c>
      <c r="N46" s="24"/>
      <c r="O46" s="24">
        <f>+O30-N30</f>
        <v>-770.9583140901741</v>
      </c>
      <c r="P46" s="24"/>
    </row>
    <row r="47" spans="2:37" hidden="1" x14ac:dyDescent="0.35">
      <c r="B47" s="6" t="s">
        <v>17</v>
      </c>
      <c r="C47" s="6"/>
      <c r="E47" s="24">
        <f t="shared" si="29"/>
        <v>0</v>
      </c>
      <c r="F47" s="24">
        <f t="shared" si="29"/>
        <v>0</v>
      </c>
      <c r="G47" s="24">
        <f t="shared" si="29"/>
        <v>0</v>
      </c>
      <c r="H47" s="24">
        <f t="shared" si="29"/>
        <v>0</v>
      </c>
      <c r="I47" s="24">
        <f t="shared" si="29"/>
        <v>0</v>
      </c>
      <c r="J47" s="24">
        <f>+J31-I31</f>
        <v>0</v>
      </c>
      <c r="K47" s="24">
        <f>+K31-J31</f>
        <v>0</v>
      </c>
      <c r="L47" s="24">
        <f>+L31-K31</f>
        <v>0</v>
      </c>
      <c r="M47" s="24">
        <f>+M31-L31</f>
        <v>0</v>
      </c>
      <c r="N47" s="24">
        <f>+N31-M31</f>
        <v>0</v>
      </c>
      <c r="O47" s="24"/>
      <c r="P47" s="24">
        <f>-P19</f>
        <v>-1475434</v>
      </c>
    </row>
    <row r="48" spans="2:37" x14ac:dyDescent="0.35">
      <c r="P48" s="5"/>
    </row>
    <row r="49" spans="2:16" x14ac:dyDescent="0.35">
      <c r="E49" s="5">
        <f>+E19+E35</f>
        <v>1444695.7916666667</v>
      </c>
      <c r="F49" s="5">
        <f t="shared" ref="F49:P49" si="30">+F19+F35</f>
        <v>1444055.412326389</v>
      </c>
      <c r="G49" s="5">
        <f t="shared" si="30"/>
        <v>1443401.6917498554</v>
      </c>
      <c r="H49" s="5">
        <f t="shared" si="30"/>
        <v>1442734.3519946442</v>
      </c>
      <c r="I49" s="5">
        <f t="shared" si="30"/>
        <v>1442053.1093278658</v>
      </c>
      <c r="J49" s="5">
        <f t="shared" si="30"/>
        <v>1441357.6741055297</v>
      </c>
      <c r="K49" s="5">
        <f t="shared" si="30"/>
        <v>1440647.7506493949</v>
      </c>
      <c r="L49" s="5">
        <f t="shared" si="30"/>
        <v>1439923.0371212573</v>
      </c>
      <c r="M49" s="5">
        <f t="shared" si="30"/>
        <v>1439183.2253946168</v>
      </c>
      <c r="N49" s="5">
        <f t="shared" si="30"/>
        <v>1438428.0009236713</v>
      </c>
      <c r="O49" s="5">
        <f t="shared" si="30"/>
        <v>1437657.0426095813</v>
      </c>
      <c r="P49" s="5">
        <f t="shared" si="30"/>
        <v>0</v>
      </c>
    </row>
    <row r="53" spans="2:16" x14ac:dyDescent="0.35">
      <c r="B53" s="26" t="s">
        <v>105</v>
      </c>
      <c r="C53" s="26"/>
      <c r="D53" s="27">
        <f>+SUM(D54:D66)</f>
        <v>0</v>
      </c>
      <c r="E53" s="24">
        <f>+AVERAGE(D19:D19)*$D$12</f>
        <v>29508.68</v>
      </c>
      <c r="F53" s="24">
        <f>+AVERAGE(E19:E19)*$E$12</f>
        <v>29508.68</v>
      </c>
      <c r="G53" s="24">
        <f>+AVERAGE(F19:F19)*$F$12</f>
        <v>29508.68</v>
      </c>
      <c r="H53" s="24">
        <f>+AVERAGE(G19:G19)*$G$12</f>
        <v>29508.68</v>
      </c>
      <c r="I53" s="24">
        <f>+AVERAGE(H19:H19)*$H$12</f>
        <v>29508.68</v>
      </c>
      <c r="J53" s="24">
        <f>+AVERAGE(I19:I19)*$I$12</f>
        <v>29508.68</v>
      </c>
      <c r="K53" s="24">
        <f>+AVERAGE(J19:J19)*$J$12</f>
        <v>29508.68</v>
      </c>
      <c r="L53" s="24">
        <f>+AVERAGE(K19:K19)*$K$12</f>
        <v>29508.68</v>
      </c>
      <c r="M53" s="24">
        <f>+AVERAGE(L19:L19)*$L$12</f>
        <v>29508.68</v>
      </c>
      <c r="N53" s="24">
        <f>+AVERAGE(M19:M19)*$M$12</f>
        <v>29508.68</v>
      </c>
      <c r="O53" s="24">
        <f>+AVERAGE(N19:N19)*$N$12</f>
        <v>29508.68</v>
      </c>
      <c r="P53" s="24">
        <f>+AVERAGE(O19:O19)*$O$12</f>
        <v>29508.68</v>
      </c>
    </row>
    <row r="54" spans="2:16" x14ac:dyDescent="0.35">
      <c r="B54" s="6"/>
      <c r="C54" s="6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</row>
    <row r="55" spans="2:16" x14ac:dyDescent="0.35">
      <c r="B55" s="6"/>
      <c r="C55" s="6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</row>
    <row r="56" spans="2:16" x14ac:dyDescent="0.35">
      <c r="B56" s="6"/>
      <c r="C56" s="6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</row>
    <row r="57" spans="2:16" x14ac:dyDescent="0.35">
      <c r="B57" s="6"/>
      <c r="C57" s="6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</row>
    <row r="58" spans="2:16" x14ac:dyDescent="0.35">
      <c r="B58" s="6"/>
      <c r="C58" s="6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</row>
    <row r="59" spans="2:16" x14ac:dyDescent="0.35">
      <c r="B59" s="6"/>
      <c r="C59" s="6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</row>
    <row r="60" spans="2:16" x14ac:dyDescent="0.35">
      <c r="B60" s="6"/>
      <c r="C60" s="6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</row>
    <row r="61" spans="2:16" x14ac:dyDescent="0.35">
      <c r="B61" s="6"/>
      <c r="C61" s="6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</row>
    <row r="62" spans="2:16" x14ac:dyDescent="0.35">
      <c r="B62" s="6"/>
      <c r="C62" s="6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</row>
    <row r="63" spans="2:16" x14ac:dyDescent="0.35">
      <c r="B63" s="6"/>
      <c r="C63" s="6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</row>
    <row r="64" spans="2:16" x14ac:dyDescent="0.35">
      <c r="B64" s="6"/>
      <c r="C64" s="6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</row>
    <row r="65" spans="2:35" x14ac:dyDescent="0.35">
      <c r="B65" s="6"/>
      <c r="C65" s="6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</row>
    <row r="67" spans="2:35" s="1" customFormat="1" x14ac:dyDescent="0.35"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AI67" s="15"/>
    </row>
  </sheetData>
  <mergeCells count="1">
    <mergeCell ref="D16:O16"/>
  </mergeCells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8ff33436-4701-4dad-b7d3-3462e99c6889}" enabled="0" method="" siteId="{8ff33436-4701-4dad-b7d3-3462e99c688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Tarjetas</vt:lpstr>
      <vt:lpstr>CDT</vt:lpstr>
      <vt:lpstr>VTU HIPOTECARIO</vt:lpstr>
      <vt:lpstr>Simulador</vt:lpstr>
      <vt:lpstr>Rotativo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Alarcon Contreras Jenny Katherine</dc:creator>
  <cp:lastModifiedBy>Baracaldo Parra, Angie</cp:lastModifiedBy>
  <cp:lastPrinted>2017-11-29T18:39:17Z</cp:lastPrinted>
  <dcterms:created xsi:type="dcterms:W3CDTF">2017-04-27T00:10:25Z</dcterms:created>
  <dcterms:modified xsi:type="dcterms:W3CDTF">2024-09-02T18:57:05Z</dcterms:modified>
</cp:coreProperties>
</file>