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muladores\"/>
    </mc:Choice>
  </mc:AlternateContent>
  <bookViews>
    <workbookView xWindow="0" yWindow="0" windowWidth="20490" windowHeight="6555"/>
  </bookViews>
  <sheets>
    <sheet name="VTU Tarjetas de Crédito" sheetId="3" r:id="rId1"/>
    <sheet name="Flujo TC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G12" i="3"/>
  <c r="D12" i="3"/>
  <c r="D11" i="3"/>
  <c r="J11" i="3" l="1"/>
  <c r="G11" i="3"/>
  <c r="G10" i="3"/>
  <c r="G9" i="3"/>
  <c r="B4" i="2" s="1"/>
  <c r="D16" i="3"/>
  <c r="G13" i="3"/>
  <c r="BA8" i="2" l="1"/>
  <c r="BA7" i="2"/>
  <c r="BA6" i="2"/>
  <c r="BA9" i="2" s="1"/>
  <c r="J8" i="2"/>
  <c r="BA29" i="2" l="1"/>
  <c r="AY29" i="2"/>
  <c r="AX29" i="2"/>
  <c r="AW29" i="2"/>
  <c r="AV29" i="2"/>
  <c r="AU29" i="2"/>
  <c r="AT29" i="2"/>
  <c r="H29" i="2"/>
  <c r="AY26" i="2"/>
  <c r="AY23" i="2"/>
  <c r="AY20" i="2"/>
  <c r="AY17" i="2"/>
  <c r="AS10" i="2"/>
  <c r="AS11" i="2" s="1"/>
  <c r="AS4" i="2"/>
  <c r="AU16" i="2" s="1"/>
  <c r="AW17" i="2" s="1"/>
  <c r="AX16" i="2" l="1"/>
  <c r="AU17" i="2"/>
  <c r="AW18" i="2" s="1"/>
  <c r="AX17" i="2"/>
  <c r="BA16" i="2"/>
  <c r="AU18" i="2" l="1"/>
  <c r="AW19" i="2" s="1"/>
  <c r="AU19" i="2" l="1"/>
  <c r="AW20" i="2" s="1"/>
  <c r="AX18" i="2"/>
  <c r="O16" i="2"/>
  <c r="P28" i="2" s="1"/>
  <c r="AO16" i="2" l="1"/>
  <c r="P17" i="2"/>
  <c r="Q17" i="2" s="1"/>
  <c r="R27" i="2" s="1"/>
  <c r="P18" i="2"/>
  <c r="P21" i="2"/>
  <c r="P25" i="2"/>
  <c r="AU20" i="2"/>
  <c r="AW21" i="2" s="1"/>
  <c r="AX19" i="2"/>
  <c r="P27" i="2"/>
  <c r="P22" i="2"/>
  <c r="P26" i="2"/>
  <c r="P19" i="2"/>
  <c r="P23" i="2"/>
  <c r="P20" i="2"/>
  <c r="P24" i="2"/>
  <c r="H26" i="2"/>
  <c r="H23" i="2"/>
  <c r="H20" i="2"/>
  <c r="H17" i="2"/>
  <c r="B10" i="2"/>
  <c r="B11" i="2" s="1"/>
  <c r="AV19" i="2" s="1"/>
  <c r="AT19" i="2" s="1"/>
  <c r="BA19" i="2" s="1"/>
  <c r="D16" i="2"/>
  <c r="R24" i="2" l="1"/>
  <c r="R23" i="2"/>
  <c r="R25" i="2"/>
  <c r="R19" i="2"/>
  <c r="AP17" i="2"/>
  <c r="R20" i="2"/>
  <c r="R26" i="2"/>
  <c r="R28" i="2"/>
  <c r="R18" i="2"/>
  <c r="AP18" i="2" s="1"/>
  <c r="O17" i="2"/>
  <c r="O18" i="2" s="1"/>
  <c r="R22" i="2"/>
  <c r="R21" i="2"/>
  <c r="F17" i="2"/>
  <c r="AQ17" i="2" s="1"/>
  <c r="AV17" i="2"/>
  <c r="AT17" i="2" s="1"/>
  <c r="BA17" i="2" s="1"/>
  <c r="AV18" i="2"/>
  <c r="AT18" i="2" s="1"/>
  <c r="BA18" i="2" s="1"/>
  <c r="AU21" i="2"/>
  <c r="AW22" i="2" s="1"/>
  <c r="AV20" i="2"/>
  <c r="AT20" i="2" s="1"/>
  <c r="BA20" i="2" s="1"/>
  <c r="AX20" i="2"/>
  <c r="G16" i="2"/>
  <c r="Q18" i="2" l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S18" i="2"/>
  <c r="T25" i="2" s="1"/>
  <c r="AO17" i="2"/>
  <c r="D17" i="2"/>
  <c r="F18" i="2" s="1"/>
  <c r="AQ18" i="2" s="1"/>
  <c r="T26" i="2"/>
  <c r="AU22" i="2"/>
  <c r="AW23" i="2" s="1"/>
  <c r="AV21" i="2"/>
  <c r="AT21" i="2" s="1"/>
  <c r="BA21" i="2" s="1"/>
  <c r="AX21" i="2"/>
  <c r="T20" i="2"/>
  <c r="O19" i="2"/>
  <c r="E17" i="2"/>
  <c r="J16" i="2"/>
  <c r="T22" i="2" l="1"/>
  <c r="T28" i="2"/>
  <c r="AO18" i="2"/>
  <c r="T19" i="2"/>
  <c r="U19" i="2" s="1"/>
  <c r="V25" i="2" s="1"/>
  <c r="T21" i="2"/>
  <c r="T27" i="2"/>
  <c r="D18" i="2"/>
  <c r="F19" i="2" s="1"/>
  <c r="D19" i="2" s="1"/>
  <c r="G17" i="2"/>
  <c r="E18" i="2" s="1"/>
  <c r="C18" i="2" s="1"/>
  <c r="T24" i="2"/>
  <c r="T23" i="2"/>
  <c r="C17" i="2"/>
  <c r="AU23" i="2"/>
  <c r="AW24" i="2" s="1"/>
  <c r="AX22" i="2"/>
  <c r="AV22" i="2"/>
  <c r="AT22" i="2" s="1"/>
  <c r="BA22" i="2" s="1"/>
  <c r="O20" i="2"/>
  <c r="V20" i="2" l="1"/>
  <c r="W20" i="2" s="1"/>
  <c r="X21" i="2" s="1"/>
  <c r="V26" i="2"/>
  <c r="S19" i="2"/>
  <c r="S20" i="2" s="1"/>
  <c r="V24" i="2"/>
  <c r="V21" i="2"/>
  <c r="V28" i="2"/>
  <c r="AP19" i="2"/>
  <c r="AQ19" i="2" s="1"/>
  <c r="V23" i="2"/>
  <c r="V22" i="2"/>
  <c r="V27" i="2"/>
  <c r="J18" i="2"/>
  <c r="S21" i="2"/>
  <c r="S22" i="2" s="1"/>
  <c r="S23" i="2" s="1"/>
  <c r="S24" i="2" s="1"/>
  <c r="S25" i="2" s="1"/>
  <c r="S26" i="2" s="1"/>
  <c r="S27" i="2" s="1"/>
  <c r="S28" i="2" s="1"/>
  <c r="G18" i="2"/>
  <c r="E19" i="2" s="1"/>
  <c r="X23" i="2"/>
  <c r="X26" i="2"/>
  <c r="X22" i="2"/>
  <c r="U20" i="2"/>
  <c r="U21" i="2" s="1"/>
  <c r="U22" i="2" s="1"/>
  <c r="J17" i="2"/>
  <c r="X25" i="2"/>
  <c r="X24" i="2"/>
  <c r="AP20" i="2"/>
  <c r="AU24" i="2"/>
  <c r="AW25" i="2" s="1"/>
  <c r="AV23" i="2"/>
  <c r="AT23" i="2" s="1"/>
  <c r="BA23" i="2" s="1"/>
  <c r="AX23" i="2"/>
  <c r="O21" i="2"/>
  <c r="AP21" i="2"/>
  <c r="W21" i="2"/>
  <c r="Y21" i="2" l="1"/>
  <c r="Z27" i="2" s="1"/>
  <c r="G19" i="2"/>
  <c r="X28" i="2"/>
  <c r="X27" i="2"/>
  <c r="AO19" i="2"/>
  <c r="U23" i="2"/>
  <c r="U24" i="2" s="1"/>
  <c r="U25" i="2" s="1"/>
  <c r="U26" i="2" s="1"/>
  <c r="U27" i="2" s="1"/>
  <c r="U28" i="2" s="1"/>
  <c r="Z22" i="2"/>
  <c r="AA22" i="2" s="1"/>
  <c r="AB25" i="2" s="1"/>
  <c r="AO20" i="2"/>
  <c r="Z26" i="2"/>
  <c r="Z24" i="2"/>
  <c r="W22" i="2"/>
  <c r="W23" i="2" s="1"/>
  <c r="W24" i="2" s="1"/>
  <c r="W25" i="2" s="1"/>
  <c r="W26" i="2" s="1"/>
  <c r="W27" i="2" s="1"/>
  <c r="W28" i="2" s="1"/>
  <c r="Z25" i="2"/>
  <c r="C19" i="2"/>
  <c r="AU25" i="2"/>
  <c r="AW26" i="2" s="1"/>
  <c r="AX24" i="2"/>
  <c r="AV24" i="2"/>
  <c r="AT24" i="2" s="1"/>
  <c r="BA24" i="2" s="1"/>
  <c r="O22" i="2"/>
  <c r="AO21" i="2"/>
  <c r="E20" i="2"/>
  <c r="F20" i="2"/>
  <c r="Z23" i="2" l="1"/>
  <c r="Z28" i="2"/>
  <c r="Y22" i="2"/>
  <c r="AP22" i="2"/>
  <c r="AB24" i="2"/>
  <c r="AB23" i="2"/>
  <c r="AP23" i="2" s="1"/>
  <c r="AB28" i="2"/>
  <c r="AB26" i="2"/>
  <c r="AB27" i="2"/>
  <c r="Y23" i="2"/>
  <c r="Y24" i="2" s="1"/>
  <c r="Y25" i="2" s="1"/>
  <c r="Y26" i="2" s="1"/>
  <c r="Y27" i="2" s="1"/>
  <c r="Y28" i="2" s="1"/>
  <c r="AQ20" i="2"/>
  <c r="J19" i="2"/>
  <c r="AU26" i="2"/>
  <c r="AW27" i="2" s="1"/>
  <c r="AV25" i="2"/>
  <c r="AT25" i="2" s="1"/>
  <c r="BA25" i="2" s="1"/>
  <c r="AX25" i="2"/>
  <c r="O23" i="2"/>
  <c r="AO22" i="2"/>
  <c r="D20" i="2"/>
  <c r="G20" i="2" s="1"/>
  <c r="E21" i="2" s="1"/>
  <c r="C20" i="2"/>
  <c r="AC23" i="2" l="1"/>
  <c r="AD24" i="2" s="1"/>
  <c r="AE24" i="2" s="1"/>
  <c r="AF25" i="2" s="1"/>
  <c r="AA23" i="2"/>
  <c r="AA24" i="2" s="1"/>
  <c r="AA25" i="2" s="1"/>
  <c r="AA26" i="2" s="1"/>
  <c r="AA27" i="2" s="1"/>
  <c r="AA28" i="2" s="1"/>
  <c r="J20" i="2"/>
  <c r="AD27" i="2"/>
  <c r="AD26" i="2"/>
  <c r="AD28" i="2"/>
  <c r="AU27" i="2"/>
  <c r="AX26" i="2"/>
  <c r="AV26" i="2"/>
  <c r="AT26" i="2" s="1"/>
  <c r="BA26" i="2" s="1"/>
  <c r="AP24" i="2"/>
  <c r="O24" i="2"/>
  <c r="AC24" i="2"/>
  <c r="F21" i="2"/>
  <c r="AD25" i="2" l="1"/>
  <c r="AG25" i="2" s="1"/>
  <c r="AO23" i="2"/>
  <c r="AF28" i="2"/>
  <c r="AF27" i="2"/>
  <c r="AF26" i="2"/>
  <c r="AX27" i="2"/>
  <c r="AV27" i="2"/>
  <c r="AT27" i="2" s="1"/>
  <c r="BA27" i="2" s="1"/>
  <c r="C21" i="2"/>
  <c r="AQ21" i="2"/>
  <c r="O25" i="2"/>
  <c r="AO24" i="2"/>
  <c r="AP25" i="2"/>
  <c r="AE25" i="2"/>
  <c r="D21" i="2"/>
  <c r="F22" i="2" s="1"/>
  <c r="AH28" i="2" l="1"/>
  <c r="AH26" i="2"/>
  <c r="AI26" i="2" s="1"/>
  <c r="AJ28" i="2" s="1"/>
  <c r="AH27" i="2"/>
  <c r="AC25" i="2"/>
  <c r="AC26" i="2" s="1"/>
  <c r="AC27" i="2" s="1"/>
  <c r="AC28" i="2" s="1"/>
  <c r="AE26" i="2"/>
  <c r="AE27" i="2" s="1"/>
  <c r="AE28" i="2" s="1"/>
  <c r="AW28" i="2"/>
  <c r="AV28" i="2"/>
  <c r="D22" i="2"/>
  <c r="F23" i="2" s="1"/>
  <c r="AQ22" i="2"/>
  <c r="O26" i="2"/>
  <c r="AG26" i="2"/>
  <c r="AG27" i="2" s="1"/>
  <c r="AG28" i="2" s="1"/>
  <c r="G21" i="2"/>
  <c r="E22" i="2" s="1"/>
  <c r="C22" i="2" s="1"/>
  <c r="J21" i="2"/>
  <c r="AO25" i="2" l="1"/>
  <c r="AP26" i="2"/>
  <c r="J22" i="2"/>
  <c r="AJ27" i="2"/>
  <c r="AK27" i="2" s="1"/>
  <c r="AL28" i="2" s="1"/>
  <c r="AM28" i="2" s="1"/>
  <c r="AT28" i="2"/>
  <c r="BA28" i="2" s="1"/>
  <c r="BA10" i="2" s="1"/>
  <c r="BA11" i="2" s="1"/>
  <c r="AX28" i="2"/>
  <c r="D23" i="2"/>
  <c r="F24" i="2" s="1"/>
  <c r="AQ24" i="2" s="1"/>
  <c r="AQ23" i="2"/>
  <c r="O27" i="2"/>
  <c r="AO26" i="2"/>
  <c r="G22" i="2"/>
  <c r="E23" i="2" s="1"/>
  <c r="C23" i="2" s="1"/>
  <c r="AP27" i="2" l="1"/>
  <c r="AI27" i="2"/>
  <c r="AI28" i="2" s="1"/>
  <c r="J23" i="2"/>
  <c r="AK28" i="2"/>
  <c r="O28" i="2"/>
  <c r="AO27" i="2"/>
  <c r="G23" i="2"/>
  <c r="E24" i="2" s="1"/>
  <c r="C24" i="2" s="1"/>
  <c r="D24" i="2"/>
  <c r="F25" i="2" s="1"/>
  <c r="AQ25" i="2" s="1"/>
  <c r="J24" i="2" l="1"/>
  <c r="AO28" i="2"/>
  <c r="AP28" i="2" s="1"/>
  <c r="G24" i="2"/>
  <c r="E25" i="2" s="1"/>
  <c r="C25" i="2" s="1"/>
  <c r="D25" i="2"/>
  <c r="J25" i="2" l="1"/>
  <c r="G25" i="2"/>
  <c r="F26" i="2"/>
  <c r="AQ26" i="2" s="1"/>
  <c r="D26" i="2" l="1"/>
  <c r="G26" i="2" s="1"/>
  <c r="E26" i="2"/>
  <c r="C26" i="2" s="1"/>
  <c r="J26" i="2" l="1"/>
  <c r="F27" i="2"/>
  <c r="AQ27" i="2" s="1"/>
  <c r="D27" i="2" l="1"/>
  <c r="E27" i="2"/>
  <c r="C27" i="2" s="1"/>
  <c r="J27" i="2" l="1"/>
  <c r="G27" i="2"/>
  <c r="F28" i="2" s="1"/>
  <c r="G28" i="2" s="1"/>
  <c r="G29" i="2" s="1"/>
  <c r="D29" i="2"/>
  <c r="AQ28" i="2" l="1"/>
  <c r="J6" i="2"/>
  <c r="J9" i="3" s="1"/>
  <c r="F29" i="2"/>
  <c r="E28" i="2"/>
  <c r="C28" i="2" l="1"/>
  <c r="E29" i="2"/>
  <c r="J7" i="2"/>
  <c r="J9" i="2" l="1"/>
  <c r="J10" i="3"/>
  <c r="J13" i="3" s="1"/>
  <c r="J28" i="2"/>
  <c r="C29" i="2"/>
  <c r="J29" i="2" l="1"/>
  <c r="J10" i="2"/>
  <c r="J11" i="2" s="1"/>
  <c r="J14" i="3" s="1"/>
</calcChain>
</file>

<file path=xl/sharedStrings.xml><?xml version="1.0" encoding="utf-8"?>
<sst xmlns="http://schemas.openxmlformats.org/spreadsheetml/2006/main" count="122" uniqueCount="67">
  <si>
    <t>Colpatria</t>
  </si>
  <si>
    <t>Cuota</t>
  </si>
  <si>
    <t>interes</t>
  </si>
  <si>
    <t>capital</t>
  </si>
  <si>
    <t>Saldo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</si>
  <si>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</si>
  <si>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</si>
  <si>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</si>
  <si>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</si>
  <si>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</si>
  <si>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</si>
  <si>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</si>
  <si>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</si>
  <si>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</si>
  <si>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</si>
  <si>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</si>
  <si>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</si>
  <si>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Plazo</t>
  </si>
  <si>
    <t>Tasa EA</t>
  </si>
  <si>
    <t>Flujo</t>
  </si>
  <si>
    <t>TIR</t>
  </si>
  <si>
    <t>VTU</t>
  </si>
  <si>
    <t>Cuota Manejo</t>
  </si>
  <si>
    <t>Cupo</t>
  </si>
  <si>
    <t>SMMLV</t>
  </si>
  <si>
    <t>No. SMMLV</t>
  </si>
  <si>
    <t>Usura</t>
  </si>
  <si>
    <t>% Tasa Usura</t>
  </si>
  <si>
    <t>Utilización</t>
  </si>
  <si>
    <t>Mes 0</t>
  </si>
  <si>
    <t>o   Un desembolso inicial que corresponde a la totalidad del cupo otorgado</t>
  </si>
  <si>
    <t>o   Pagos mensuales de capital e intereses, asumiendo que el desembolso fue diferido a doce (12) cuotas, el cupo liberado por el cliente con el pago de la cuota mensual es reutilizado inmediatamente, y que la deuda remanente se cancela en su totalidad en la cuota doce (12) contada a partir del desembolso</t>
  </si>
  <si>
    <t>o   Cualquier otro concepto asociado a la existencia de la operación o producto en el año posterior al desembolso tales como cuota de manejo.</t>
  </si>
  <si>
    <t>Legales</t>
  </si>
  <si>
    <t>Tasa Mensual</t>
  </si>
  <si>
    <t>Total</t>
  </si>
  <si>
    <t xml:space="preserve">La tasa de interés utilizada es la de compras y estará publicada en la página del Banco www.colpatria.com y puede tener variaciones de un mes al otro.   </t>
  </si>
  <si>
    <t xml:space="preserve">Podrán existir otros costos que deberá asumir el cliente y los cuales no hacen parte del cálculo del VTUA como intereses de mora y cobranza en caso de incumplir con la fecha de pago. </t>
  </si>
  <si>
    <t xml:space="preserve">El presente simulador se realiza con el fin de informar el VTUA, pero no conlleva una obligación de otorgar la Tarjeta de Crédito por parte del Banco. </t>
  </si>
  <si>
    <t xml:space="preserve">El otorgamiento del crédito está sujeto a políticas de crédito de Banco Colpatria. </t>
  </si>
  <si>
    <t xml:space="preserve">La proyección obtenida corresponde a una simulación de los cobros inherentes  o asociados directamente a la operación y no necesariamente a los montos que efectivamente pagará el cliente. </t>
  </si>
  <si>
    <t>Para estas categorías el VTUA se calculará como la tasa interna de retorno de los siguientes flujos mensuales:</t>
  </si>
  <si>
    <t>Este cálculo está realizado con la Tarjeta de Crédito Clásica del Banco, dado esto, la cuota de manejo podrá variar para cada tipo de tarjeta, teniendo esta un monto o periodicidad diferentes.</t>
  </si>
  <si>
    <t xml:space="preserve">La tasa de interés establecida por el banco para Tarjetas de Crédito deberá ajustarse según la Tasa de Usura dada por el Banco de la República y no deberá sobrepasar ésta. </t>
  </si>
  <si>
    <t>Capital</t>
  </si>
  <si>
    <t>Interes</t>
  </si>
  <si>
    <t>VTU TOTAL EN PESOS</t>
  </si>
  <si>
    <t>Las tasas y tarifas se pueden consultas en la pagina WEB www.colpatria.com</t>
  </si>
  <si>
    <t>Visualiza el cliente</t>
  </si>
  <si>
    <t>Parametrizable</t>
  </si>
  <si>
    <t>Años</t>
  </si>
  <si>
    <t>DATOS DE SOLICITUD</t>
  </si>
  <si>
    <t>DATOS DE CALCULO</t>
  </si>
  <si>
    <t>RESULTADO VTU</t>
  </si>
  <si>
    <t>Desembolso</t>
  </si>
  <si>
    <t>Plazo en meses</t>
  </si>
  <si>
    <t>Tasa E.A</t>
  </si>
  <si>
    <t>Tasa M.V</t>
  </si>
  <si>
    <t>Fecha cálculo</t>
  </si>
  <si>
    <t>VTU EN PORCENTAJE</t>
  </si>
  <si>
    <t>Tarifa Incendio y terremoto</t>
  </si>
  <si>
    <t>CALCULO VALOR TOTAL UNIFICADO (VTU) TARJETA DE CREDITO</t>
  </si>
  <si>
    <t>Seleccione No. De SMMLV</t>
  </si>
  <si>
    <t>Valor cupo</t>
  </si>
  <si>
    <t>Cuota de manejo (T.A.)</t>
  </si>
  <si>
    <t>Cuota de manejo</t>
  </si>
  <si>
    <t>Valor SMMLV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</si>
</sst>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$&quot;\ #,##0.00_);[Red]\(&quot;$&quot;\ #,##0.00\)"/>
    <numFmt numFmtId="167" formatCode="0.000%"/>
    <numFmt numFmtId="168" formatCode="_-[$$-240A]* #,##0.00_-;\-[$$-240A]* #,##0.00_-;_-[$$-240A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/>
    <xf numFmtId="0" fontId="3" fillId="0" borderId="0" xfId="0" applyFont="1"/>
    <xf numFmtId="0" fontId="3" fillId="4" borderId="0" xfId="0" applyFont="1" applyFill="1"/>
    <xf numFmtId="165" fontId="3" fillId="0" borderId="0" xfId="1" applyNumberFormat="1" applyFont="1"/>
    <xf numFmtId="10" fontId="3" fillId="0" borderId="0" xfId="0" applyNumberFormat="1" applyFont="1"/>
    <xf numFmtId="10" fontId="3" fillId="0" borderId="0" xfId="2" applyNumberFormat="1" applyFont="1"/>
    <xf numFmtId="165" fontId="3" fillId="0" borderId="0" xfId="0" applyNumberFormat="1" applyFont="1"/>
    <xf numFmtId="0" fontId="2" fillId="4" borderId="0" xfId="0" applyFont="1" applyFill="1"/>
    <xf numFmtId="10" fontId="2" fillId="2" borderId="0" xfId="2" applyNumberFormat="1" applyFont="1" applyFill="1"/>
    <xf numFmtId="17" fontId="3" fillId="0" borderId="0" xfId="0" applyNumberFormat="1" applyFont="1"/>
    <xf numFmtId="166" fontId="3" fillId="0" borderId="0" xfId="0" applyNumberFormat="1" applyFont="1"/>
    <xf numFmtId="165" fontId="3" fillId="4" borderId="0" xfId="1" applyNumberFormat="1" applyFont="1" applyFill="1"/>
    <xf numFmtId="165" fontId="3" fillId="3" borderId="0" xfId="1" applyNumberFormat="1" applyFont="1" applyFill="1"/>
    <xf numFmtId="0" fontId="4" fillId="0" borderId="0" xfId="0" applyFont="1" applyAlignment="1">
      <alignment vertical="center"/>
    </xf>
    <xf numFmtId="164" fontId="2" fillId="2" borderId="0" xfId="1" applyFont="1" applyFill="1" applyAlignment="1">
      <alignment vertical="center"/>
    </xf>
    <xf numFmtId="164" fontId="2" fillId="2" borderId="0" xfId="1" applyFont="1" applyFill="1" applyAlignment="1">
      <alignment horizontal="center" vertical="center"/>
    </xf>
    <xf numFmtId="164" fontId="2" fillId="4" borderId="0" xfId="1" applyFont="1" applyFill="1" applyAlignment="1">
      <alignment vertical="center"/>
    </xf>
    <xf numFmtId="166" fontId="5" fillId="0" borderId="0" xfId="0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5" fillId="4" borderId="0" xfId="1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17" fontId="5" fillId="0" borderId="0" xfId="0" applyNumberFormat="1" applyFont="1" applyAlignment="1">
      <alignment horizontal="left"/>
    </xf>
    <xf numFmtId="17" fontId="6" fillId="0" borderId="0" xfId="0" applyNumberFormat="1" applyFont="1"/>
    <xf numFmtId="165" fontId="7" fillId="5" borderId="0" xfId="0" applyNumberFormat="1" applyFont="1" applyFill="1"/>
    <xf numFmtId="43" fontId="3" fillId="0" borderId="0" xfId="0" applyNumberFormat="1" applyFont="1"/>
    <xf numFmtId="167" fontId="3" fillId="0" borderId="0" xfId="0" applyNumberFormat="1" applyFont="1"/>
    <xf numFmtId="0" fontId="5" fillId="0" borderId="0" xfId="0" applyFont="1" applyAlignment="1">
      <alignment horizontal="left" vertical="center" indent="1"/>
    </xf>
    <xf numFmtId="17" fontId="5" fillId="0" borderId="0" xfId="0" applyNumberFormat="1" applyFont="1" applyAlignment="1">
      <alignment horizontal="left" indent="1"/>
    </xf>
    <xf numFmtId="17" fontId="5" fillId="0" borderId="0" xfId="0" applyNumberFormat="1" applyFont="1" applyAlignment="1">
      <alignment horizontal="left" indent="5"/>
    </xf>
    <xf numFmtId="0" fontId="2" fillId="0" borderId="0" xfId="0" applyFont="1"/>
    <xf numFmtId="10" fontId="2" fillId="0" borderId="0" xfId="0" applyNumberFormat="1" applyFont="1"/>
    <xf numFmtId="8" fontId="8" fillId="2" borderId="0" xfId="0" applyNumberFormat="1" applyFont="1" applyFill="1"/>
    <xf numFmtId="0" fontId="8" fillId="2" borderId="0" xfId="0" applyFont="1" applyFill="1"/>
    <xf numFmtId="0" fontId="3" fillId="6" borderId="0" xfId="0" applyFont="1" applyFill="1"/>
    <xf numFmtId="0" fontId="3" fillId="7" borderId="0" xfId="0" applyFont="1" applyFill="1"/>
    <xf numFmtId="0" fontId="0" fillId="4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10" borderId="8" xfId="0" applyFill="1" applyBorder="1"/>
    <xf numFmtId="165" fontId="10" fillId="10" borderId="9" xfId="1" applyNumberFormat="1" applyFont="1" applyFill="1" applyBorder="1"/>
    <xf numFmtId="165" fontId="0" fillId="10" borderId="9" xfId="1" applyNumberFormat="1" applyFont="1" applyFill="1" applyBorder="1"/>
    <xf numFmtId="8" fontId="13" fillId="10" borderId="8" xfId="0" applyNumberFormat="1" applyFont="1" applyFill="1" applyBorder="1"/>
    <xf numFmtId="0" fontId="0" fillId="4" borderId="8" xfId="0" applyFill="1" applyBorder="1"/>
    <xf numFmtId="165" fontId="0" fillId="4" borderId="9" xfId="0" applyNumberFormat="1" applyFill="1" applyBorder="1"/>
    <xf numFmtId="0" fontId="13" fillId="4" borderId="8" xfId="0" applyFont="1" applyFill="1" applyBorder="1"/>
    <xf numFmtId="168" fontId="0" fillId="4" borderId="9" xfId="0" applyNumberFormat="1" applyFill="1" applyBorder="1"/>
    <xf numFmtId="10" fontId="0" fillId="10" borderId="9" xfId="2" applyNumberFormat="1" applyFont="1" applyFill="1" applyBorder="1"/>
    <xf numFmtId="0" fontId="13" fillId="10" borderId="8" xfId="0" applyFont="1" applyFill="1" applyBorder="1"/>
    <xf numFmtId="10" fontId="0" fillId="4" borderId="9" xfId="0" applyNumberFormat="1" applyFill="1" applyBorder="1"/>
    <xf numFmtId="0" fontId="10" fillId="4" borderId="8" xfId="0" applyFont="1" applyFill="1" applyBorder="1"/>
    <xf numFmtId="14" fontId="0" fillId="10" borderId="9" xfId="0" applyNumberFormat="1" applyFill="1" applyBorder="1"/>
    <xf numFmtId="0" fontId="14" fillId="10" borderId="10" xfId="0" applyFont="1" applyFill="1" applyBorder="1"/>
    <xf numFmtId="168" fontId="14" fillId="10" borderId="11" xfId="0" applyNumberFormat="1" applyFont="1" applyFill="1" applyBorder="1"/>
    <xf numFmtId="0" fontId="0" fillId="0" borderId="12" xfId="0" applyFill="1" applyBorder="1"/>
    <xf numFmtId="14" fontId="0" fillId="0" borderId="13" xfId="1" applyNumberFormat="1" applyFont="1" applyFill="1" applyBorder="1" applyAlignment="1">
      <alignment horizontal="right"/>
    </xf>
    <xf numFmtId="14" fontId="0" fillId="0" borderId="13" xfId="0" applyNumberFormat="1" applyFill="1" applyBorder="1"/>
    <xf numFmtId="0" fontId="14" fillId="10" borderId="14" xfId="0" applyFont="1" applyFill="1" applyBorder="1"/>
    <xf numFmtId="10" fontId="14" fillId="10" borderId="15" xfId="2" applyNumberFormat="1" applyFont="1" applyFill="1" applyBorder="1"/>
    <xf numFmtId="0" fontId="0" fillId="4" borderId="16" xfId="0" applyFill="1" applyBorder="1"/>
    <xf numFmtId="0" fontId="11" fillId="4" borderId="17" xfId="0" applyFont="1" applyFill="1" applyBorder="1"/>
    <xf numFmtId="164" fontId="11" fillId="4" borderId="17" xfId="1" applyFont="1" applyFill="1" applyBorder="1"/>
    <xf numFmtId="0" fontId="0" fillId="4" borderId="17" xfId="0" applyFill="1" applyBorder="1"/>
    <xf numFmtId="165" fontId="15" fillId="4" borderId="17" xfId="1" applyNumberFormat="1" applyFont="1" applyFill="1" applyBorder="1"/>
    <xf numFmtId="0" fontId="0" fillId="4" borderId="18" xfId="0" applyFill="1" applyBorder="1"/>
    <xf numFmtId="0" fontId="11" fillId="4" borderId="0" xfId="0" applyFont="1" applyFill="1"/>
    <xf numFmtId="164" fontId="11" fillId="4" borderId="0" xfId="1" applyFont="1" applyFill="1"/>
    <xf numFmtId="14" fontId="0" fillId="4" borderId="0" xfId="1" applyNumberFormat="1" applyFont="1" applyFill="1"/>
    <xf numFmtId="165" fontId="0" fillId="4" borderId="0" xfId="1" applyNumberFormat="1" applyFont="1" applyFill="1"/>
    <xf numFmtId="14" fontId="0" fillId="4" borderId="0" xfId="0" applyNumberFormat="1" applyFill="1"/>
    <xf numFmtId="10" fontId="10" fillId="10" borderId="9" xfId="0" applyNumberFormat="1" applyFont="1" applyFill="1" applyBorder="1" applyAlignment="1">
      <alignment horizontal="center"/>
    </xf>
    <xf numFmtId="0" fontId="0" fillId="0" borderId="8" xfId="0" applyFill="1" applyBorder="1"/>
    <xf numFmtId="165" fontId="10" fillId="0" borderId="9" xfId="1" applyNumberFormat="1" applyFont="1" applyFill="1" applyBorder="1"/>
    <xf numFmtId="165" fontId="10" fillId="11" borderId="9" xfId="0" applyNumberFormat="1" applyFont="1" applyFill="1" applyBorder="1"/>
    <xf numFmtId="168" fontId="10" fillId="10" borderId="9" xfId="0" applyNumberFormat="1" applyFont="1" applyFill="1" applyBorder="1"/>
    <xf numFmtId="168" fontId="10" fillId="4" borderId="9" xfId="0" applyNumberFormat="1" applyFont="1" applyFill="1" applyBorder="1"/>
    <xf numFmtId="0" fontId="12" fillId="4" borderId="0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76199</xdr:rowOff>
    </xdr:from>
    <xdr:to>
      <xdr:col>9</xdr:col>
      <xdr:colOff>1064759</xdr:colOff>
      <xdr:row>3</xdr:row>
      <xdr:rowOff>114299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309" t="94545" r="12551"/>
        <a:stretch/>
      </xdr:blipFill>
      <xdr:spPr>
        <a:xfrm>
          <a:off x="304800" y="276224"/>
          <a:ext cx="8113259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0"/>
  <sheetViews>
    <sheetView showGridLines="0" showRowColHeaders="0" tabSelected="1" workbookViewId="0">
      <selection activeCell="G18" sqref="G18"/>
    </sheetView>
  </sheetViews>
  <sheetFormatPr baseColWidth="10" defaultRowHeight="15" x14ac:dyDescent="0.25"/>
  <cols>
    <col min="1" max="1" width="2.5703125" style="37" customWidth="1"/>
    <col min="2" max="2" width="1.5703125" style="37" customWidth="1"/>
    <col min="3" max="3" width="32" style="37" customWidth="1"/>
    <col min="4" max="4" width="12.5703125" style="37" bestFit="1" customWidth="1"/>
    <col min="5" max="5" width="3.7109375" style="37" customWidth="1"/>
    <col min="6" max="6" width="19.85546875" style="37" customWidth="1"/>
    <col min="7" max="7" width="14.85546875" style="37" customWidth="1"/>
    <col min="8" max="8" width="3.7109375" style="37" customWidth="1"/>
    <col min="9" max="9" width="19.42578125" style="37" customWidth="1"/>
    <col min="10" max="10" width="16.28515625" style="37" bestFit="1" customWidth="1"/>
    <col min="11" max="11" width="1" style="37" customWidth="1"/>
    <col min="12" max="16384" width="11.42578125" style="37"/>
  </cols>
  <sheetData>
    <row r="1" spans="2:26" ht="15.75" thickBot="1" x14ac:dyDescent="0.3"/>
    <row r="2" spans="2:26" ht="15.75" thickTop="1" x14ac:dyDescent="0.25"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2:26" x14ac:dyDescent="0.25">
      <c r="B3" s="41"/>
      <c r="C3" s="42"/>
      <c r="D3" s="42"/>
      <c r="E3" s="42"/>
      <c r="F3" s="42"/>
      <c r="G3" s="42"/>
      <c r="H3" s="42"/>
      <c r="I3" s="42"/>
      <c r="J3" s="42"/>
      <c r="K3" s="43"/>
      <c r="Z3" s="37" t="s">
        <v>50</v>
      </c>
    </row>
    <row r="4" spans="2:26" x14ac:dyDescent="0.25">
      <c r="B4" s="41"/>
      <c r="C4" s="42"/>
      <c r="D4" s="42"/>
      <c r="E4" s="42"/>
      <c r="F4" s="42"/>
      <c r="G4" s="42"/>
      <c r="H4" s="42"/>
      <c r="I4" s="42"/>
      <c r="J4" s="42"/>
      <c r="K4" s="43"/>
      <c r="Z4" s="37">
        <v>2</v>
      </c>
    </row>
    <row r="5" spans="2:26" x14ac:dyDescent="0.25">
      <c r="B5" s="41"/>
      <c r="C5" s="42"/>
      <c r="D5" s="42"/>
      <c r="E5" s="42"/>
      <c r="F5" s="42"/>
      <c r="G5" s="42"/>
      <c r="H5" s="42"/>
      <c r="I5" s="42"/>
      <c r="J5" s="42"/>
      <c r="K5" s="43"/>
      <c r="Z5" s="37">
        <v>6</v>
      </c>
    </row>
    <row r="6" spans="2:26" ht="21" x14ac:dyDescent="0.35">
      <c r="B6" s="41"/>
      <c r="C6" s="81" t="s">
        <v>61</v>
      </c>
      <c r="D6" s="81"/>
      <c r="E6" s="81"/>
      <c r="F6" s="81"/>
      <c r="G6" s="81"/>
      <c r="H6" s="81"/>
      <c r="I6" s="81"/>
      <c r="J6" s="81"/>
      <c r="K6" s="43"/>
    </row>
    <row r="7" spans="2:26" ht="15.75" thickBot="1" x14ac:dyDescent="0.3">
      <c r="B7" s="41"/>
      <c r="C7" s="42"/>
      <c r="D7" s="42"/>
      <c r="E7" s="42"/>
      <c r="F7" s="42"/>
      <c r="G7" s="42"/>
      <c r="H7" s="42"/>
      <c r="I7" s="42"/>
      <c r="J7" s="42"/>
      <c r="K7" s="43"/>
    </row>
    <row r="8" spans="2:26" x14ac:dyDescent="0.25">
      <c r="B8" s="41"/>
      <c r="C8" s="82" t="s">
        <v>51</v>
      </c>
      <c r="D8" s="83"/>
      <c r="E8" s="42"/>
      <c r="F8" s="84" t="s">
        <v>52</v>
      </c>
      <c r="G8" s="85"/>
      <c r="H8" s="42"/>
      <c r="I8" s="86" t="s">
        <v>53</v>
      </c>
      <c r="J8" s="87"/>
      <c r="K8" s="43"/>
    </row>
    <row r="9" spans="2:26" x14ac:dyDescent="0.25">
      <c r="B9" s="41"/>
      <c r="C9" s="44" t="s">
        <v>62</v>
      </c>
      <c r="D9" s="78">
        <v>6</v>
      </c>
      <c r="E9" s="42"/>
      <c r="F9" s="44" t="s">
        <v>54</v>
      </c>
      <c r="G9" s="46">
        <f>+D10</f>
        <v>4426302</v>
      </c>
      <c r="H9" s="42"/>
      <c r="I9" s="47" t="s">
        <v>44</v>
      </c>
      <c r="J9" s="79">
        <f>+'Flujo TC'!J6</f>
        <v>10676384.613408066</v>
      </c>
      <c r="K9" s="43"/>
    </row>
    <row r="10" spans="2:26" x14ac:dyDescent="0.25">
      <c r="B10" s="41"/>
      <c r="C10" s="76" t="s">
        <v>63</v>
      </c>
      <c r="D10" s="77">
        <f>+D9*'Flujo TC'!B5</f>
        <v>4426302</v>
      </c>
      <c r="E10" s="42"/>
      <c r="F10" s="48" t="s">
        <v>55</v>
      </c>
      <c r="G10" s="49">
        <f>+'Flujo TC'!B7</f>
        <v>12</v>
      </c>
      <c r="H10" s="42"/>
      <c r="I10" s="50" t="s">
        <v>45</v>
      </c>
      <c r="J10" s="80">
        <f>+'Flujo TC'!J7</f>
        <v>1221659.352</v>
      </c>
      <c r="K10" s="43"/>
    </row>
    <row r="11" spans="2:26" x14ac:dyDescent="0.25">
      <c r="B11" s="41"/>
      <c r="C11" s="44" t="s">
        <v>64</v>
      </c>
      <c r="D11" s="45">
        <f>+'Flujo TC'!B12</f>
        <v>63900</v>
      </c>
      <c r="E11" s="42"/>
      <c r="F11" s="44" t="s">
        <v>56</v>
      </c>
      <c r="G11" s="52">
        <f>+'Flujo TC'!B10</f>
        <v>0.31295201123961552</v>
      </c>
      <c r="H11" s="42"/>
      <c r="I11" s="53" t="s">
        <v>65</v>
      </c>
      <c r="J11" s="79">
        <f>+'Flujo TC'!J8</f>
        <v>255600</v>
      </c>
      <c r="K11" s="43"/>
    </row>
    <row r="12" spans="2:26" x14ac:dyDescent="0.25">
      <c r="B12" s="41"/>
      <c r="C12" s="76" t="s">
        <v>66</v>
      </c>
      <c r="D12" s="77">
        <f>+'Flujo TC'!B5</f>
        <v>737717</v>
      </c>
      <c r="E12" s="42"/>
      <c r="F12" s="48" t="s">
        <v>57</v>
      </c>
      <c r="G12" s="54">
        <f>+'Flujo TC'!B11</f>
        <v>2.3E-2</v>
      </c>
      <c r="H12" s="42"/>
      <c r="I12" s="55"/>
      <c r="J12" s="51"/>
      <c r="K12" s="43"/>
    </row>
    <row r="13" spans="2:26" x14ac:dyDescent="0.25">
      <c r="B13" s="41"/>
      <c r="C13" s="44"/>
      <c r="D13" s="75"/>
      <c r="E13" s="42"/>
      <c r="F13" s="44" t="s">
        <v>58</v>
      </c>
      <c r="G13" s="56">
        <f ca="1">+TODAY()</f>
        <v>43059</v>
      </c>
      <c r="H13" s="42"/>
      <c r="I13" s="57" t="s">
        <v>46</v>
      </c>
      <c r="J13" s="58">
        <f>SUM(J9:J12)</f>
        <v>12153643.965408066</v>
      </c>
      <c r="K13" s="43"/>
    </row>
    <row r="14" spans="2:26" ht="15.75" thickBot="1" x14ac:dyDescent="0.3">
      <c r="B14" s="41"/>
      <c r="C14" s="59"/>
      <c r="D14" s="60"/>
      <c r="E14" s="42"/>
      <c r="F14" s="59"/>
      <c r="G14" s="61"/>
      <c r="H14" s="42"/>
      <c r="I14" s="62" t="s">
        <v>59</v>
      </c>
      <c r="J14" s="63">
        <f>+'Flujo TC'!J11</f>
        <v>0.39200375835002199</v>
      </c>
      <c r="K14" s="43"/>
    </row>
    <row r="15" spans="2:26" ht="15.75" thickBot="1" x14ac:dyDescent="0.3">
      <c r="B15" s="64"/>
      <c r="C15" s="65"/>
      <c r="D15" s="66"/>
      <c r="E15" s="67"/>
      <c r="F15" s="67"/>
      <c r="G15" s="68"/>
      <c r="H15" s="67"/>
      <c r="I15" s="67"/>
      <c r="J15" s="67"/>
      <c r="K15" s="69"/>
    </row>
    <row r="16" spans="2:26" ht="15.75" thickTop="1" x14ac:dyDescent="0.25">
      <c r="C16" s="70" t="s">
        <v>60</v>
      </c>
      <c r="D16" s="71">
        <f>+AC10</f>
        <v>0</v>
      </c>
      <c r="F16" s="70"/>
      <c r="G16" s="71"/>
    </row>
    <row r="17" spans="4:7" x14ac:dyDescent="0.25">
      <c r="G17" s="72"/>
    </row>
    <row r="18" spans="4:7" x14ac:dyDescent="0.25">
      <c r="G18" s="73"/>
    </row>
    <row r="19" spans="4:7" x14ac:dyDescent="0.25">
      <c r="D19" s="72"/>
      <c r="G19" s="72"/>
    </row>
    <row r="20" spans="4:7" x14ac:dyDescent="0.25">
      <c r="G20" s="74"/>
    </row>
  </sheetData>
  <sheetProtection algorithmName="SHA-512" hashValue="JG3fdCpMNFocPguCKaMc9BE+hykCfOmX6MUio3RIm2PWvTdieFAs+vOI8KfLpxOEh9I2nDU6sAMV1wXxItBpVg==" saltValue="jDSAJLzjVQ/0OFYwPFNwug==" spinCount="100000" sheet="1" objects="1" scenarios="1" formatCells="0" formatColumns="0" formatRows="0" insertColumns="0" insertRows="0" insertHyperlinks="0" deleteColumns="0" deleteRows="0" sort="0" autoFilter="0" pivotTables="0"/>
  <protectedRanges>
    <protectedRange sqref="D9" name="Rango1"/>
  </protectedRanges>
  <mergeCells count="4">
    <mergeCell ref="C6:J6"/>
    <mergeCell ref="C8:D8"/>
    <mergeCell ref="F8:G8"/>
    <mergeCell ref="I8:J8"/>
  </mergeCells>
  <dataValidations count="1">
    <dataValidation type="list" allowBlank="1" showInputMessage="1" showErrorMessage="1" sqref="D9">
      <formula1>$Z$4:$Z$18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6"/>
  <sheetViews>
    <sheetView showGridLines="0" topLeftCell="A7" workbookViewId="0">
      <selection activeCell="F23" sqref="F23"/>
    </sheetView>
  </sheetViews>
  <sheetFormatPr baseColWidth="10" defaultRowHeight="12" x14ac:dyDescent="0.2"/>
  <cols>
    <col min="1" max="1" width="11.42578125" style="2"/>
    <col min="2" max="2" width="12.5703125" style="2" bestFit="1" customWidth="1"/>
    <col min="3" max="3" width="12.42578125" style="2" bestFit="1" customWidth="1"/>
    <col min="4" max="4" width="11.85546875" style="2" bestFit="1" customWidth="1"/>
    <col min="5" max="5" width="9.85546875" style="2" bestFit="1" customWidth="1"/>
    <col min="6" max="6" width="11.140625" style="2" bestFit="1" customWidth="1"/>
    <col min="7" max="7" width="12" style="2" bestFit="1" customWidth="1"/>
    <col min="8" max="8" width="19.7109375" style="2" bestFit="1" customWidth="1"/>
    <col min="9" max="9" width="1.28515625" style="3" customWidth="1"/>
    <col min="10" max="10" width="10.42578125" style="2" bestFit="1" customWidth="1"/>
    <col min="11" max="11" width="3.42578125" style="2" customWidth="1"/>
    <col min="12" max="12" width="12.42578125" style="2" customWidth="1"/>
    <col min="13" max="13" width="3.42578125" style="2" hidden="1" customWidth="1"/>
    <col min="14" max="14" width="6.42578125" style="2" hidden="1" customWidth="1"/>
    <col min="15" max="15" width="9" style="2" hidden="1" customWidth="1"/>
    <col min="16" max="17" width="6.85546875" style="2" hidden="1" customWidth="1"/>
    <col min="18" max="18" width="6" style="2" hidden="1" customWidth="1"/>
    <col min="19" max="19" width="6.85546875" style="2" hidden="1" customWidth="1"/>
    <col min="20" max="20" width="6" style="2" hidden="1" customWidth="1"/>
    <col min="21" max="21" width="6.85546875" style="2" hidden="1" customWidth="1"/>
    <col min="22" max="22" width="6" style="2" hidden="1" customWidth="1"/>
    <col min="23" max="23" width="7.7109375" style="2" hidden="1" customWidth="1"/>
    <col min="24" max="24" width="6" style="2" hidden="1" customWidth="1"/>
    <col min="25" max="25" width="7.7109375" style="2" hidden="1" customWidth="1"/>
    <col min="26" max="26" width="6" style="2" hidden="1" customWidth="1"/>
    <col min="27" max="27" width="7.7109375" style="2" hidden="1" customWidth="1"/>
    <col min="28" max="28" width="6.85546875" style="2" hidden="1" customWidth="1"/>
    <col min="29" max="29" width="7.7109375" style="2" hidden="1" customWidth="1"/>
    <col min="30" max="30" width="6.85546875" style="2" hidden="1" customWidth="1"/>
    <col min="31" max="31" width="7.7109375" style="2" hidden="1" customWidth="1"/>
    <col min="32" max="32" width="6.85546875" style="2" hidden="1" customWidth="1"/>
    <col min="33" max="33" width="7.7109375" style="2" hidden="1" customWidth="1"/>
    <col min="34" max="34" width="6.85546875" style="2" hidden="1" customWidth="1"/>
    <col min="35" max="35" width="7.7109375" style="2" hidden="1" customWidth="1"/>
    <col min="36" max="36" width="6.85546875" style="2" hidden="1" customWidth="1"/>
    <col min="37" max="37" width="7.7109375" style="2" hidden="1" customWidth="1"/>
    <col min="38" max="38" width="6.85546875" style="2" hidden="1" customWidth="1"/>
    <col min="39" max="39" width="7.7109375" style="2" hidden="1" customWidth="1"/>
    <col min="40" max="42" width="11.42578125" style="2" hidden="1" customWidth="1"/>
    <col min="43" max="43" width="7.85546875" style="2" hidden="1" customWidth="1"/>
    <col min="44" max="45" width="11.42578125" style="2"/>
    <col min="46" max="46" width="12.42578125" style="2" bestFit="1" customWidth="1"/>
    <col min="47" max="47" width="11.85546875" style="2" bestFit="1" customWidth="1"/>
    <col min="48" max="48" width="11.42578125" style="2"/>
    <col min="49" max="50" width="12" style="2" bestFit="1" customWidth="1"/>
    <col min="51" max="51" width="17.5703125" style="2" bestFit="1" customWidth="1"/>
    <col min="52" max="52" width="1.28515625" style="3" customWidth="1"/>
    <col min="53" max="53" width="11.42578125" style="2"/>
    <col min="54" max="54" width="3.7109375" style="2" customWidth="1"/>
    <col min="55" max="16384" width="11.42578125" style="2"/>
  </cols>
  <sheetData>
    <row r="1" spans="1:54" x14ac:dyDescent="0.2">
      <c r="C1" s="35"/>
      <c r="D1" s="2" t="s">
        <v>48</v>
      </c>
      <c r="AT1" s="35"/>
      <c r="AU1" s="2" t="s">
        <v>48</v>
      </c>
    </row>
    <row r="2" spans="1:54" x14ac:dyDescent="0.2">
      <c r="A2" s="1" t="s">
        <v>0</v>
      </c>
      <c r="C2" s="36"/>
      <c r="D2" s="2" t="s">
        <v>49</v>
      </c>
      <c r="AT2" s="36"/>
      <c r="AU2" s="2" t="s">
        <v>49</v>
      </c>
    </row>
    <row r="3" spans="1:54" x14ac:dyDescent="0.2">
      <c r="B3" s="4"/>
      <c r="E3" s="4"/>
      <c r="F3" s="4"/>
    </row>
    <row r="4" spans="1:54" x14ac:dyDescent="0.2">
      <c r="A4" s="2" t="s">
        <v>23</v>
      </c>
      <c r="B4" s="4">
        <f>+'VTU Tarjetas de Crédito'!G9</f>
        <v>4426302</v>
      </c>
      <c r="C4" s="35"/>
      <c r="J4" s="4"/>
      <c r="R4" s="4"/>
      <c r="S4" s="5"/>
      <c r="U4" s="6"/>
      <c r="X4" s="4"/>
      <c r="AR4" s="2" t="s">
        <v>23</v>
      </c>
      <c r="AS4" s="4">
        <f>+AS5*AS6</f>
        <v>4426302</v>
      </c>
      <c r="AT4" s="35"/>
      <c r="BA4" s="4"/>
    </row>
    <row r="5" spans="1:54" x14ac:dyDescent="0.2">
      <c r="A5" s="2" t="s">
        <v>24</v>
      </c>
      <c r="B5" s="4">
        <v>737717</v>
      </c>
      <c r="C5" s="36"/>
      <c r="J5" s="4"/>
      <c r="R5" s="4"/>
      <c r="S5" s="5"/>
      <c r="U5" s="6"/>
      <c r="X5" s="4"/>
      <c r="AR5" s="2" t="s">
        <v>24</v>
      </c>
      <c r="AS5" s="4">
        <v>737717</v>
      </c>
      <c r="AT5" s="36"/>
      <c r="BA5" s="4"/>
    </row>
    <row r="6" spans="1:54" ht="12.75" x14ac:dyDescent="0.2">
      <c r="A6" s="2" t="s">
        <v>25</v>
      </c>
      <c r="B6" s="4">
        <v>2</v>
      </c>
      <c r="C6" s="36"/>
      <c r="H6" s="33" t="s">
        <v>44</v>
      </c>
      <c r="J6" s="4">
        <f>+SUM(F15:F28)</f>
        <v>10676384.613408066</v>
      </c>
      <c r="K6" s="35"/>
      <c r="R6" s="4"/>
      <c r="S6" s="5"/>
      <c r="U6" s="6"/>
      <c r="X6" s="4"/>
      <c r="AR6" s="2" t="s">
        <v>25</v>
      </c>
      <c r="AS6" s="4">
        <v>6</v>
      </c>
      <c r="AT6" s="36"/>
      <c r="AY6" s="33" t="s">
        <v>44</v>
      </c>
      <c r="BA6" s="4">
        <f>+SUM(AW15:AW28)</f>
        <v>10676384.613408066</v>
      </c>
      <c r="BB6" s="35"/>
    </row>
    <row r="7" spans="1:54" ht="12.75" x14ac:dyDescent="0.2">
      <c r="A7" s="2" t="s">
        <v>17</v>
      </c>
      <c r="B7" s="7">
        <v>12</v>
      </c>
      <c r="C7" s="35"/>
      <c r="H7" s="34" t="s">
        <v>45</v>
      </c>
      <c r="J7" s="4">
        <f>+SUM(E15:E28)</f>
        <v>1221659.352</v>
      </c>
      <c r="K7" s="35"/>
      <c r="R7" s="7"/>
      <c r="AR7" s="2" t="s">
        <v>17</v>
      </c>
      <c r="AS7" s="7">
        <v>12</v>
      </c>
      <c r="AT7" s="35"/>
      <c r="AY7" s="34" t="s">
        <v>45</v>
      </c>
      <c r="BA7" s="4">
        <f>+SUM(AV15:AV28)</f>
        <v>1221659.352</v>
      </c>
      <c r="BB7" s="35"/>
    </row>
    <row r="8" spans="1:54" ht="12.75" x14ac:dyDescent="0.2">
      <c r="A8" s="2" t="s">
        <v>26</v>
      </c>
      <c r="B8" s="6">
        <v>0.31440000000000001</v>
      </c>
      <c r="C8" s="36"/>
      <c r="H8" s="34" t="s">
        <v>22</v>
      </c>
      <c r="J8" s="7">
        <f>-SUM(H16:H28)</f>
        <v>255600</v>
      </c>
      <c r="K8" s="35"/>
      <c r="R8" s="7"/>
      <c r="AR8" s="2" t="s">
        <v>26</v>
      </c>
      <c r="AS8" s="6">
        <v>0.31440000000000001</v>
      </c>
      <c r="AT8" s="36"/>
      <c r="AY8" s="34" t="s">
        <v>22</v>
      </c>
      <c r="BA8" s="7">
        <f>-SUM(AY16:AY28)</f>
        <v>255600</v>
      </c>
      <c r="BB8" s="35"/>
    </row>
    <row r="9" spans="1:54" ht="12.75" x14ac:dyDescent="0.2">
      <c r="A9" s="2" t="s">
        <v>27</v>
      </c>
      <c r="B9" s="6">
        <v>0.99539443778503667</v>
      </c>
      <c r="C9" s="36"/>
      <c r="H9" s="34" t="s">
        <v>46</v>
      </c>
      <c r="J9" s="7">
        <f>+J6+J7+J8</f>
        <v>12153643.965408066</v>
      </c>
      <c r="K9" s="35"/>
      <c r="R9" s="7"/>
      <c r="AR9" s="2" t="s">
        <v>27</v>
      </c>
      <c r="AS9" s="6">
        <v>0.99539443778503667</v>
      </c>
      <c r="AT9" s="36"/>
      <c r="AY9" s="34" t="s">
        <v>46</v>
      </c>
      <c r="BA9" s="7">
        <f>+BA6+BA7+BA8</f>
        <v>12153643.965408066</v>
      </c>
      <c r="BB9" s="35"/>
    </row>
    <row r="10" spans="1:54" x14ac:dyDescent="0.2">
      <c r="A10" s="2" t="s">
        <v>18</v>
      </c>
      <c r="B10" s="6">
        <f>+B8*B9</f>
        <v>0.31295201123961552</v>
      </c>
      <c r="C10" s="36"/>
      <c r="H10" s="31" t="s">
        <v>20</v>
      </c>
      <c r="I10" s="8"/>
      <c r="J10" s="32">
        <f>+IRR(J16:J28)</f>
        <v>2.7945368175585683E-2</v>
      </c>
      <c r="K10" s="35"/>
      <c r="R10" s="7"/>
      <c r="AR10" s="2" t="s">
        <v>18</v>
      </c>
      <c r="AS10" s="6">
        <f>+AS8*AS9</f>
        <v>0.31295201123961552</v>
      </c>
      <c r="AT10" s="36"/>
      <c r="AY10" s="31" t="s">
        <v>20</v>
      </c>
      <c r="AZ10" s="8"/>
      <c r="BA10" s="32">
        <f>+IRR(BA16:BA28)</f>
        <v>2.7945368175585683E-2</v>
      </c>
      <c r="BB10" s="35"/>
    </row>
    <row r="11" spans="1:54" x14ac:dyDescent="0.2">
      <c r="A11" s="2" t="s">
        <v>34</v>
      </c>
      <c r="B11" s="27">
        <f>+ROUNDUP((1+B10)^(0.0833333333333333)-1,4)</f>
        <v>2.3E-2</v>
      </c>
      <c r="C11" s="35"/>
      <c r="H11" s="1" t="s">
        <v>21</v>
      </c>
      <c r="I11" s="8"/>
      <c r="J11" s="9">
        <f>+(1+J10)^(12)-1</f>
        <v>0.39200375835002199</v>
      </c>
      <c r="K11" s="35"/>
      <c r="R11" s="7"/>
      <c r="AR11" s="2" t="s">
        <v>34</v>
      </c>
      <c r="AS11" s="27">
        <f>+ROUNDUP((1+AS10)^(0.0833333333333333)-1,4)</f>
        <v>2.3E-2</v>
      </c>
      <c r="AT11" s="35"/>
      <c r="AY11" s="1" t="s">
        <v>21</v>
      </c>
      <c r="AZ11" s="8"/>
      <c r="BA11" s="9">
        <f>+(1+BA10)^(12)-1</f>
        <v>0.39200375835002199</v>
      </c>
      <c r="BB11" s="35"/>
    </row>
    <row r="12" spans="1:54" x14ac:dyDescent="0.2">
      <c r="A12" s="2" t="s">
        <v>22</v>
      </c>
      <c r="B12" s="4">
        <v>63900</v>
      </c>
      <c r="C12" s="35"/>
      <c r="R12" s="7"/>
      <c r="AR12" s="2" t="s">
        <v>22</v>
      </c>
      <c r="AS12" s="4">
        <v>63900</v>
      </c>
      <c r="AT12" s="35"/>
    </row>
    <row r="13" spans="1:54" x14ac:dyDescent="0.2">
      <c r="B13" s="5"/>
      <c r="R13" s="7"/>
      <c r="AS13" s="5"/>
    </row>
    <row r="14" spans="1:54" s="14" customFormat="1" x14ac:dyDescent="0.25">
      <c r="C14" s="16" t="s">
        <v>1</v>
      </c>
      <c r="D14" s="16" t="s">
        <v>28</v>
      </c>
      <c r="E14" s="15" t="s">
        <v>2</v>
      </c>
      <c r="F14" s="15" t="s">
        <v>3</v>
      </c>
      <c r="G14" s="15" t="s">
        <v>4</v>
      </c>
      <c r="H14" s="16" t="s">
        <v>22</v>
      </c>
      <c r="I14" s="17"/>
      <c r="J14" s="15" t="s">
        <v>19</v>
      </c>
      <c r="AT14" s="16" t="s">
        <v>1</v>
      </c>
      <c r="AU14" s="16" t="s">
        <v>28</v>
      </c>
      <c r="AV14" s="15" t="s">
        <v>2</v>
      </c>
      <c r="AW14" s="15" t="s">
        <v>3</v>
      </c>
      <c r="AX14" s="15" t="s">
        <v>4</v>
      </c>
      <c r="AY14" s="16" t="s">
        <v>22</v>
      </c>
      <c r="AZ14" s="17"/>
      <c r="BA14" s="15" t="s">
        <v>19</v>
      </c>
    </row>
    <row r="15" spans="1:54" x14ac:dyDescent="0.2">
      <c r="B15" s="10"/>
      <c r="G15" s="7"/>
      <c r="R15" s="10"/>
      <c r="V15" s="7"/>
      <c r="AS15" s="10"/>
      <c r="AX15" s="7"/>
    </row>
    <row r="16" spans="1:54" x14ac:dyDescent="0.2">
      <c r="B16" s="10" t="s">
        <v>29</v>
      </c>
      <c r="C16" s="11">
        <v>0</v>
      </c>
      <c r="D16" s="11">
        <f>+B4</f>
        <v>4426302</v>
      </c>
      <c r="E16" s="4"/>
      <c r="F16" s="7"/>
      <c r="G16" s="7">
        <f>+B4</f>
        <v>4426302</v>
      </c>
      <c r="H16" s="4"/>
      <c r="I16" s="12"/>
      <c r="J16" s="4">
        <f>+G16</f>
        <v>4426302</v>
      </c>
      <c r="K16" s="7"/>
      <c r="L16" s="7"/>
      <c r="M16" s="7"/>
      <c r="O16" s="25">
        <f>+B4</f>
        <v>4426302</v>
      </c>
      <c r="Q16" s="7"/>
      <c r="R16" s="10"/>
      <c r="S16" s="11"/>
      <c r="T16" s="4"/>
      <c r="U16" s="7"/>
      <c r="V16" s="7"/>
      <c r="W16" s="4"/>
      <c r="X16" s="4"/>
      <c r="Y16" s="7"/>
      <c r="AO16" s="26">
        <f t="shared" ref="AO16:AO27" si="0">+O16+Q16+S16+U16+W16+Y16+AA16+AC16+AE16+AG16+AI16+AK16</f>
        <v>4426302</v>
      </c>
      <c r="AP16" s="26"/>
      <c r="AS16" s="10" t="s">
        <v>29</v>
      </c>
      <c r="AT16" s="11">
        <v>0</v>
      </c>
      <c r="AU16" s="11">
        <f>+AS4</f>
        <v>4426302</v>
      </c>
      <c r="AV16" s="4"/>
      <c r="AW16" s="7"/>
      <c r="AX16" s="7">
        <f>+AS4</f>
        <v>4426302</v>
      </c>
      <c r="AY16" s="4"/>
      <c r="AZ16" s="12"/>
      <c r="BA16" s="4">
        <f>+AX16</f>
        <v>4426302</v>
      </c>
    </row>
    <row r="17" spans="2:53" x14ac:dyDescent="0.2">
      <c r="B17" s="10" t="s">
        <v>5</v>
      </c>
      <c r="C17" s="11">
        <f>(F17+E17)*-1</f>
        <v>-470663.446</v>
      </c>
      <c r="D17" s="11">
        <f>+F17</f>
        <v>368858.5</v>
      </c>
      <c r="E17" s="4">
        <f t="shared" ref="E17:E28" si="1">+G16*$B$11</f>
        <v>101804.946</v>
      </c>
      <c r="F17" s="7">
        <f>+D16/12</f>
        <v>368858.5</v>
      </c>
      <c r="G17" s="7">
        <f>+G16-F17+D17</f>
        <v>4426302</v>
      </c>
      <c r="H17" s="4">
        <f>+$B$12*-1</f>
        <v>-63900</v>
      </c>
      <c r="I17" s="12"/>
      <c r="J17" s="13">
        <f>+C17+H17+D17</f>
        <v>-165704.946</v>
      </c>
      <c r="K17" s="7"/>
      <c r="L17" s="7"/>
      <c r="M17" s="7"/>
      <c r="N17" s="10" t="s">
        <v>5</v>
      </c>
      <c r="O17" s="7">
        <f>+O16-P17</f>
        <v>4057443.5</v>
      </c>
      <c r="P17" s="4">
        <f>+O16/12</f>
        <v>368858.5</v>
      </c>
      <c r="Q17" s="25">
        <f>+P17</f>
        <v>368858.5</v>
      </c>
      <c r="R17" s="10"/>
      <c r="S17" s="11"/>
      <c r="T17" s="4"/>
      <c r="U17" s="7"/>
      <c r="V17" s="7"/>
      <c r="W17" s="4"/>
      <c r="X17" s="4"/>
      <c r="Y17" s="7"/>
      <c r="AO17" s="26">
        <f t="shared" si="0"/>
        <v>4426302</v>
      </c>
      <c r="AP17" s="26">
        <f t="shared" ref="AP17:AP27" si="2">+P17+R17+T17+V17+X17+Z17+AB17+AD17+AF17+AH17+AJ17+AL17</f>
        <v>368858.5</v>
      </c>
      <c r="AQ17" s="7">
        <f>+AP17-F17</f>
        <v>0</v>
      </c>
      <c r="AS17" s="10" t="s">
        <v>5</v>
      </c>
      <c r="AT17" s="11">
        <f>(AW17+AV17)*-1</f>
        <v>-470663.446</v>
      </c>
      <c r="AU17" s="11">
        <f>+AW17</f>
        <v>368858.5</v>
      </c>
      <c r="AV17" s="4">
        <f t="shared" ref="AV17:AV28" si="3">+AX16*$B$11</f>
        <v>101804.946</v>
      </c>
      <c r="AW17" s="7">
        <f>+AU16/12</f>
        <v>368858.5</v>
      </c>
      <c r="AX17" s="7">
        <f>+AX16-AW17+AU17</f>
        <v>4426302</v>
      </c>
      <c r="AY17" s="4">
        <f>+$B$12*-1</f>
        <v>-63900</v>
      </c>
      <c r="AZ17" s="12"/>
      <c r="BA17" s="13">
        <f>+AT17+AY17+AU17</f>
        <v>-165704.946</v>
      </c>
    </row>
    <row r="18" spans="2:53" x14ac:dyDescent="0.2">
      <c r="B18" s="10" t="s">
        <v>6</v>
      </c>
      <c r="C18" s="11">
        <f t="shared" ref="C18:C28" si="4">(F18+E18)*-1</f>
        <v>-501401.65433333331</v>
      </c>
      <c r="D18" s="11">
        <f t="shared" ref="D18:D27" si="5">+F18</f>
        <v>399596.70833333331</v>
      </c>
      <c r="E18" s="4">
        <f t="shared" si="1"/>
        <v>101804.946</v>
      </c>
      <c r="F18" s="7">
        <f>+F17+(D17/12)</f>
        <v>399596.70833333331</v>
      </c>
      <c r="G18" s="7">
        <f t="shared" ref="G18:G28" si="6">+G17-F18+D18</f>
        <v>4426302</v>
      </c>
      <c r="H18" s="4">
        <v>0</v>
      </c>
      <c r="I18" s="12"/>
      <c r="J18" s="13">
        <f t="shared" ref="J18:J28" si="7">+C18+H18+D18</f>
        <v>-101804.946</v>
      </c>
      <c r="K18" s="7"/>
      <c r="L18" s="7"/>
      <c r="M18" s="7"/>
      <c r="N18" s="10" t="s">
        <v>6</v>
      </c>
      <c r="O18" s="7">
        <f t="shared" ref="O18:AI28" si="8">+O17-P18</f>
        <v>3688585</v>
      </c>
      <c r="P18" s="4">
        <f>+O16/12</f>
        <v>368858.5</v>
      </c>
      <c r="Q18" s="7">
        <f>+Q17-R18</f>
        <v>338120.29166666669</v>
      </c>
      <c r="R18" s="4">
        <f>+Q17/12</f>
        <v>30738.208333333332</v>
      </c>
      <c r="S18" s="25">
        <f>+R18+P18</f>
        <v>399596.70833333331</v>
      </c>
      <c r="T18" s="4"/>
      <c r="U18" s="7"/>
      <c r="V18" s="7"/>
      <c r="W18" s="4"/>
      <c r="X18" s="4"/>
      <c r="Y18" s="7"/>
      <c r="AO18" s="26">
        <f t="shared" si="0"/>
        <v>4426302</v>
      </c>
      <c r="AP18" s="26">
        <f t="shared" si="2"/>
        <v>399596.70833333331</v>
      </c>
      <c r="AQ18" s="7">
        <f t="shared" ref="AQ18:AQ28" si="9">+AP18-F18</f>
        <v>0</v>
      </c>
      <c r="AS18" s="10" t="s">
        <v>6</v>
      </c>
      <c r="AT18" s="11">
        <f t="shared" ref="AT18:AT28" si="10">(AW18+AV18)*-1</f>
        <v>-501401.65433333331</v>
      </c>
      <c r="AU18" s="11">
        <f t="shared" ref="AU18:AU27" si="11">+AW18</f>
        <v>399596.70833333331</v>
      </c>
      <c r="AV18" s="4">
        <f t="shared" si="3"/>
        <v>101804.946</v>
      </c>
      <c r="AW18" s="7">
        <f>+AW17+(AU17/12)</f>
        <v>399596.70833333331</v>
      </c>
      <c r="AX18" s="7">
        <f t="shared" ref="AX18:AX28" si="12">+AX17-AW18+AU18</f>
        <v>4426302</v>
      </c>
      <c r="AY18" s="4">
        <v>0</v>
      </c>
      <c r="AZ18" s="12"/>
      <c r="BA18" s="13">
        <f t="shared" ref="BA18:BA28" si="13">+AT18+AY18+AU18</f>
        <v>-101804.946</v>
      </c>
    </row>
    <row r="19" spans="2:53" x14ac:dyDescent="0.2">
      <c r="B19" s="10" t="s">
        <v>7</v>
      </c>
      <c r="C19" s="11">
        <f t="shared" si="4"/>
        <v>-534701.38002777775</v>
      </c>
      <c r="D19" s="11">
        <f t="shared" si="5"/>
        <v>432896.43402777775</v>
      </c>
      <c r="E19" s="4">
        <f t="shared" si="1"/>
        <v>101804.946</v>
      </c>
      <c r="F19" s="7">
        <f t="shared" ref="F19:F27" si="14">+F18+(D18/12)</f>
        <v>432896.43402777775</v>
      </c>
      <c r="G19" s="7">
        <f t="shared" si="6"/>
        <v>4426302</v>
      </c>
      <c r="H19" s="4">
        <v>0</v>
      </c>
      <c r="I19" s="12"/>
      <c r="J19" s="13">
        <f t="shared" si="7"/>
        <v>-101804.946</v>
      </c>
      <c r="K19" s="7"/>
      <c r="L19" s="7"/>
      <c r="M19" s="7"/>
      <c r="N19" s="10" t="s">
        <v>7</v>
      </c>
      <c r="O19" s="7">
        <f t="shared" si="8"/>
        <v>3319726.5</v>
      </c>
      <c r="P19" s="4">
        <f>+O16/12</f>
        <v>368858.5</v>
      </c>
      <c r="Q19" s="7">
        <f t="shared" si="8"/>
        <v>307382.08333333337</v>
      </c>
      <c r="R19" s="4">
        <f>+Q17/12</f>
        <v>30738.208333333332</v>
      </c>
      <c r="S19" s="7">
        <f>+S18-T19</f>
        <v>366296.98263888888</v>
      </c>
      <c r="T19" s="4">
        <f>+S18/12</f>
        <v>33299.725694444445</v>
      </c>
      <c r="U19" s="25">
        <f>+T19+R19+P19</f>
        <v>432896.43402777775</v>
      </c>
      <c r="V19" s="7"/>
      <c r="W19" s="4"/>
      <c r="X19" s="4"/>
      <c r="Y19" s="7"/>
      <c r="AO19" s="26">
        <f t="shared" si="0"/>
        <v>4426302</v>
      </c>
      <c r="AP19" s="26">
        <f t="shared" si="2"/>
        <v>432896.43402777775</v>
      </c>
      <c r="AQ19" s="7">
        <f t="shared" si="9"/>
        <v>0</v>
      </c>
      <c r="AS19" s="10" t="s">
        <v>7</v>
      </c>
      <c r="AT19" s="11">
        <f t="shared" si="10"/>
        <v>-534701.38002777775</v>
      </c>
      <c r="AU19" s="11">
        <f t="shared" si="11"/>
        <v>432896.43402777775</v>
      </c>
      <c r="AV19" s="4">
        <f t="shared" si="3"/>
        <v>101804.946</v>
      </c>
      <c r="AW19" s="7">
        <f t="shared" ref="AW19:AW27" si="15">+AW18+(AU18/12)</f>
        <v>432896.43402777775</v>
      </c>
      <c r="AX19" s="7">
        <f t="shared" si="12"/>
        <v>4426302</v>
      </c>
      <c r="AY19" s="4">
        <v>0</v>
      </c>
      <c r="AZ19" s="12"/>
      <c r="BA19" s="13">
        <f t="shared" si="13"/>
        <v>-101804.946</v>
      </c>
    </row>
    <row r="20" spans="2:53" x14ac:dyDescent="0.2">
      <c r="B20" s="10" t="s">
        <v>8</v>
      </c>
      <c r="C20" s="11">
        <f t="shared" si="4"/>
        <v>-570776.08286342584</v>
      </c>
      <c r="D20" s="11">
        <f t="shared" si="5"/>
        <v>468971.1368634259</v>
      </c>
      <c r="E20" s="4">
        <f t="shared" si="1"/>
        <v>101804.946</v>
      </c>
      <c r="F20" s="7">
        <f t="shared" si="14"/>
        <v>468971.1368634259</v>
      </c>
      <c r="G20" s="7">
        <f t="shared" si="6"/>
        <v>4426302</v>
      </c>
      <c r="H20" s="4">
        <f t="shared" ref="H20" si="16">+$B$12*-1</f>
        <v>-63900</v>
      </c>
      <c r="I20" s="12"/>
      <c r="J20" s="13">
        <f t="shared" si="7"/>
        <v>-165704.94599999994</v>
      </c>
      <c r="K20" s="7"/>
      <c r="L20" s="7"/>
      <c r="M20" s="7"/>
      <c r="N20" s="10" t="s">
        <v>8</v>
      </c>
      <c r="O20" s="7">
        <f t="shared" si="8"/>
        <v>2950868</v>
      </c>
      <c r="P20" s="4">
        <f>+O16/12</f>
        <v>368858.5</v>
      </c>
      <c r="Q20" s="7">
        <f t="shared" si="8"/>
        <v>276643.87500000006</v>
      </c>
      <c r="R20" s="4">
        <f>+Q17/12</f>
        <v>30738.208333333332</v>
      </c>
      <c r="S20" s="7">
        <f t="shared" si="8"/>
        <v>332997.25694444444</v>
      </c>
      <c r="T20" s="4">
        <f>+S18/12</f>
        <v>33299.725694444445</v>
      </c>
      <c r="U20" s="7">
        <f>+U19-V20</f>
        <v>396821.73119212961</v>
      </c>
      <c r="V20" s="4">
        <f>+U19/12</f>
        <v>36074.702835648146</v>
      </c>
      <c r="W20" s="25">
        <f>+V20+T20+R20+P20</f>
        <v>468971.1368634259</v>
      </c>
      <c r="X20" s="4"/>
      <c r="Y20" s="7"/>
      <c r="AO20" s="26">
        <f t="shared" si="0"/>
        <v>4426302</v>
      </c>
      <c r="AP20" s="26">
        <f t="shared" si="2"/>
        <v>468971.1368634259</v>
      </c>
      <c r="AQ20" s="7">
        <f t="shared" si="9"/>
        <v>0</v>
      </c>
      <c r="AS20" s="10" t="s">
        <v>8</v>
      </c>
      <c r="AT20" s="11">
        <f t="shared" si="10"/>
        <v>-570776.08286342584</v>
      </c>
      <c r="AU20" s="11">
        <f t="shared" si="11"/>
        <v>468971.1368634259</v>
      </c>
      <c r="AV20" s="4">
        <f t="shared" si="3"/>
        <v>101804.946</v>
      </c>
      <c r="AW20" s="7">
        <f t="shared" si="15"/>
        <v>468971.1368634259</v>
      </c>
      <c r="AX20" s="7">
        <f t="shared" si="12"/>
        <v>4426302</v>
      </c>
      <c r="AY20" s="4">
        <f t="shared" ref="AY20" si="17">+$B$12*-1</f>
        <v>-63900</v>
      </c>
      <c r="AZ20" s="12"/>
      <c r="BA20" s="13">
        <f t="shared" si="13"/>
        <v>-165704.94599999994</v>
      </c>
    </row>
    <row r="21" spans="2:53" x14ac:dyDescent="0.2">
      <c r="B21" s="10" t="s">
        <v>9</v>
      </c>
      <c r="C21" s="11">
        <f t="shared" si="4"/>
        <v>-609857.01093537803</v>
      </c>
      <c r="D21" s="11">
        <f t="shared" si="5"/>
        <v>508052.06493537803</v>
      </c>
      <c r="E21" s="4">
        <f t="shared" si="1"/>
        <v>101804.946</v>
      </c>
      <c r="F21" s="7">
        <f t="shared" si="14"/>
        <v>508052.06493537803</v>
      </c>
      <c r="G21" s="7">
        <f t="shared" si="6"/>
        <v>4426302</v>
      </c>
      <c r="H21" s="4">
        <v>0</v>
      </c>
      <c r="I21" s="12"/>
      <c r="J21" s="13">
        <f t="shared" si="7"/>
        <v>-101804.946</v>
      </c>
      <c r="K21" s="7"/>
      <c r="L21" s="7"/>
      <c r="M21" s="7"/>
      <c r="N21" s="10" t="s">
        <v>9</v>
      </c>
      <c r="O21" s="7">
        <f t="shared" si="8"/>
        <v>2582009.5</v>
      </c>
      <c r="P21" s="4">
        <f>+O16/12</f>
        <v>368858.5</v>
      </c>
      <c r="Q21" s="7">
        <f t="shared" si="8"/>
        <v>245905.66666666672</v>
      </c>
      <c r="R21" s="4">
        <f>+Q17/12</f>
        <v>30738.208333333332</v>
      </c>
      <c r="S21" s="7">
        <f t="shared" si="8"/>
        <v>299697.53125</v>
      </c>
      <c r="T21" s="4">
        <f>+S18/12</f>
        <v>33299.725694444445</v>
      </c>
      <c r="U21" s="7">
        <f t="shared" si="8"/>
        <v>360747.02835648146</v>
      </c>
      <c r="V21" s="4">
        <f>+U19/12</f>
        <v>36074.702835648146</v>
      </c>
      <c r="W21" s="7">
        <f>+W20-X21</f>
        <v>429890.20879147376</v>
      </c>
      <c r="X21" s="4">
        <f>+W20/12</f>
        <v>39080.928071952156</v>
      </c>
      <c r="Y21" s="25">
        <f>+X21+V21+T21+R21+P21</f>
        <v>508052.06493537809</v>
      </c>
      <c r="AO21" s="26">
        <f t="shared" si="0"/>
        <v>4426302</v>
      </c>
      <c r="AP21" s="26">
        <f t="shared" si="2"/>
        <v>508052.06493537803</v>
      </c>
      <c r="AQ21" s="7">
        <f t="shared" si="9"/>
        <v>0</v>
      </c>
      <c r="AS21" s="10" t="s">
        <v>9</v>
      </c>
      <c r="AT21" s="11">
        <f t="shared" si="10"/>
        <v>-609857.01093537803</v>
      </c>
      <c r="AU21" s="11">
        <f t="shared" si="11"/>
        <v>508052.06493537803</v>
      </c>
      <c r="AV21" s="4">
        <f t="shared" si="3"/>
        <v>101804.946</v>
      </c>
      <c r="AW21" s="7">
        <f t="shared" si="15"/>
        <v>508052.06493537803</v>
      </c>
      <c r="AX21" s="7">
        <f t="shared" si="12"/>
        <v>4426302</v>
      </c>
      <c r="AY21" s="4">
        <v>0</v>
      </c>
      <c r="AZ21" s="12"/>
      <c r="BA21" s="13">
        <f t="shared" si="13"/>
        <v>-101804.946</v>
      </c>
    </row>
    <row r="22" spans="2:53" x14ac:dyDescent="0.2">
      <c r="B22" s="10" t="s">
        <v>10</v>
      </c>
      <c r="C22" s="11">
        <f t="shared" si="4"/>
        <v>-652194.68301332626</v>
      </c>
      <c r="D22" s="11">
        <f t="shared" si="5"/>
        <v>550389.73701332626</v>
      </c>
      <c r="E22" s="4">
        <f t="shared" si="1"/>
        <v>101804.946</v>
      </c>
      <c r="F22" s="7">
        <f t="shared" si="14"/>
        <v>550389.73701332626</v>
      </c>
      <c r="G22" s="7">
        <f t="shared" si="6"/>
        <v>4426302</v>
      </c>
      <c r="H22" s="4">
        <v>0</v>
      </c>
      <c r="I22" s="12"/>
      <c r="J22" s="13">
        <f t="shared" si="7"/>
        <v>-101804.946</v>
      </c>
      <c r="K22" s="7"/>
      <c r="L22" s="7"/>
      <c r="M22" s="7"/>
      <c r="N22" s="10" t="s">
        <v>10</v>
      </c>
      <c r="O22" s="7">
        <f t="shared" si="8"/>
        <v>2213151</v>
      </c>
      <c r="P22" s="4">
        <f>+O16/12</f>
        <v>368858.5</v>
      </c>
      <c r="Q22" s="7">
        <f t="shared" si="8"/>
        <v>215167.45833333337</v>
      </c>
      <c r="R22" s="4">
        <f>+Q17/12</f>
        <v>30738.208333333332</v>
      </c>
      <c r="S22" s="7">
        <f t="shared" si="8"/>
        <v>266397.80555555556</v>
      </c>
      <c r="T22" s="4">
        <f>+S18/12</f>
        <v>33299.725694444445</v>
      </c>
      <c r="U22" s="7">
        <f t="shared" si="8"/>
        <v>324672.32552083331</v>
      </c>
      <c r="V22" s="4">
        <f>+U19/12</f>
        <v>36074.702835648146</v>
      </c>
      <c r="W22" s="7">
        <f t="shared" si="8"/>
        <v>390809.28071952163</v>
      </c>
      <c r="X22" s="4">
        <f>+W20/12</f>
        <v>39080.928071952156</v>
      </c>
      <c r="Y22" s="7">
        <f>+Y21-Z22</f>
        <v>465714.39285742992</v>
      </c>
      <c r="Z22" s="4">
        <f>+Y21/12</f>
        <v>42337.672077948177</v>
      </c>
      <c r="AA22" s="25">
        <f>+Z22+X22+V22+T22+R22+P22</f>
        <v>550389.73701332626</v>
      </c>
      <c r="AO22" s="26">
        <f t="shared" si="0"/>
        <v>4426302</v>
      </c>
      <c r="AP22" s="26">
        <f t="shared" si="2"/>
        <v>550389.73701332626</v>
      </c>
      <c r="AQ22" s="7">
        <f t="shared" si="9"/>
        <v>0</v>
      </c>
      <c r="AS22" s="10" t="s">
        <v>10</v>
      </c>
      <c r="AT22" s="11">
        <f t="shared" si="10"/>
        <v>-652194.68301332626</v>
      </c>
      <c r="AU22" s="11">
        <f t="shared" si="11"/>
        <v>550389.73701332626</v>
      </c>
      <c r="AV22" s="4">
        <f t="shared" si="3"/>
        <v>101804.946</v>
      </c>
      <c r="AW22" s="7">
        <f t="shared" si="15"/>
        <v>550389.73701332626</v>
      </c>
      <c r="AX22" s="7">
        <f t="shared" si="12"/>
        <v>4426302</v>
      </c>
      <c r="AY22" s="4">
        <v>0</v>
      </c>
      <c r="AZ22" s="12"/>
      <c r="BA22" s="13">
        <f t="shared" si="13"/>
        <v>-101804.946</v>
      </c>
    </row>
    <row r="23" spans="2:53" x14ac:dyDescent="0.2">
      <c r="B23" s="10" t="s">
        <v>11</v>
      </c>
      <c r="C23" s="11">
        <f t="shared" si="4"/>
        <v>-698060.49443110346</v>
      </c>
      <c r="D23" s="11">
        <f t="shared" si="5"/>
        <v>596255.54843110347</v>
      </c>
      <c r="E23" s="4">
        <f t="shared" si="1"/>
        <v>101804.946</v>
      </c>
      <c r="F23" s="7">
        <f t="shared" si="14"/>
        <v>596255.54843110347</v>
      </c>
      <c r="G23" s="7">
        <f t="shared" si="6"/>
        <v>4426302</v>
      </c>
      <c r="H23" s="4">
        <f t="shared" ref="H23" si="18">+$B$12*-1</f>
        <v>-63900</v>
      </c>
      <c r="I23" s="12"/>
      <c r="J23" s="13">
        <f t="shared" si="7"/>
        <v>-165704.946</v>
      </c>
      <c r="K23" s="7"/>
      <c r="L23" s="7"/>
      <c r="M23" s="7"/>
      <c r="N23" s="10" t="s">
        <v>11</v>
      </c>
      <c r="O23" s="7">
        <f t="shared" si="8"/>
        <v>1844292.5</v>
      </c>
      <c r="P23" s="4">
        <f>+O16/12</f>
        <v>368858.5</v>
      </c>
      <c r="Q23" s="7">
        <f t="shared" si="8"/>
        <v>184429.25000000003</v>
      </c>
      <c r="R23" s="4">
        <f>+Q17/12</f>
        <v>30738.208333333332</v>
      </c>
      <c r="S23" s="7">
        <f t="shared" si="8"/>
        <v>233098.07986111112</v>
      </c>
      <c r="T23" s="4">
        <f>+S18/12</f>
        <v>33299.725694444445</v>
      </c>
      <c r="U23" s="7">
        <f t="shared" si="8"/>
        <v>288597.62268518517</v>
      </c>
      <c r="V23" s="4">
        <f>+U19/12</f>
        <v>36074.702835648146</v>
      </c>
      <c r="W23" s="7">
        <f t="shared" si="8"/>
        <v>351728.3526475695</v>
      </c>
      <c r="X23" s="4">
        <f>+W20/12</f>
        <v>39080.928071952156</v>
      </c>
      <c r="Y23" s="7">
        <f t="shared" si="8"/>
        <v>423376.72077948175</v>
      </c>
      <c r="Z23" s="4">
        <f>+Y21/12</f>
        <v>42337.672077948177</v>
      </c>
      <c r="AA23" s="7">
        <f>+AA22-AB23</f>
        <v>504523.92559554905</v>
      </c>
      <c r="AB23" s="4">
        <f>+AA22/12</f>
        <v>45865.811417777186</v>
      </c>
      <c r="AC23" s="25">
        <f>+AB23+Z23+X23+V23+T23+R23+P23</f>
        <v>596255.54843110347</v>
      </c>
      <c r="AO23" s="26">
        <f t="shared" si="0"/>
        <v>4426302</v>
      </c>
      <c r="AP23" s="26">
        <f t="shared" si="2"/>
        <v>596255.54843110347</v>
      </c>
      <c r="AQ23" s="7">
        <f t="shared" si="9"/>
        <v>0</v>
      </c>
      <c r="AS23" s="10" t="s">
        <v>11</v>
      </c>
      <c r="AT23" s="11">
        <f t="shared" si="10"/>
        <v>-698060.49443110346</v>
      </c>
      <c r="AU23" s="11">
        <f t="shared" si="11"/>
        <v>596255.54843110347</v>
      </c>
      <c r="AV23" s="4">
        <f t="shared" si="3"/>
        <v>101804.946</v>
      </c>
      <c r="AW23" s="7">
        <f t="shared" si="15"/>
        <v>596255.54843110347</v>
      </c>
      <c r="AX23" s="7">
        <f t="shared" si="12"/>
        <v>4426302</v>
      </c>
      <c r="AY23" s="4">
        <f t="shared" ref="AY23" si="19">+$B$12*-1</f>
        <v>-63900</v>
      </c>
      <c r="AZ23" s="12"/>
      <c r="BA23" s="13">
        <f t="shared" si="13"/>
        <v>-165704.946</v>
      </c>
    </row>
    <row r="24" spans="2:53" x14ac:dyDescent="0.2">
      <c r="B24" s="10" t="s">
        <v>12</v>
      </c>
      <c r="C24" s="11">
        <f t="shared" si="4"/>
        <v>-747748.4568003621</v>
      </c>
      <c r="D24" s="11">
        <f t="shared" si="5"/>
        <v>645943.5108003621</v>
      </c>
      <c r="E24" s="4">
        <f t="shared" si="1"/>
        <v>101804.946</v>
      </c>
      <c r="F24" s="7">
        <f t="shared" si="14"/>
        <v>645943.5108003621</v>
      </c>
      <c r="G24" s="7">
        <f t="shared" si="6"/>
        <v>4426302</v>
      </c>
      <c r="H24" s="4">
        <v>0</v>
      </c>
      <c r="I24" s="12"/>
      <c r="J24" s="13">
        <f t="shared" si="7"/>
        <v>-101804.946</v>
      </c>
      <c r="K24" s="7"/>
      <c r="L24" s="7"/>
      <c r="M24" s="7"/>
      <c r="N24" s="10" t="s">
        <v>12</v>
      </c>
      <c r="O24" s="7">
        <f t="shared" si="8"/>
        <v>1475434</v>
      </c>
      <c r="P24" s="4">
        <f>+O16/12</f>
        <v>368858.5</v>
      </c>
      <c r="Q24" s="7">
        <f t="shared" si="8"/>
        <v>153691.04166666669</v>
      </c>
      <c r="R24" s="4">
        <f>+Q17/12</f>
        <v>30738.208333333332</v>
      </c>
      <c r="S24" s="7">
        <f t="shared" si="8"/>
        <v>199798.35416666669</v>
      </c>
      <c r="T24" s="4">
        <f>+S18/12</f>
        <v>33299.725694444445</v>
      </c>
      <c r="U24" s="7">
        <f t="shared" si="8"/>
        <v>252522.91984953702</v>
      </c>
      <c r="V24" s="4">
        <f>+U19/12</f>
        <v>36074.702835648146</v>
      </c>
      <c r="W24" s="7">
        <f t="shared" si="8"/>
        <v>312647.42457561736</v>
      </c>
      <c r="X24" s="4">
        <f>+W20/12</f>
        <v>39080.928071952156</v>
      </c>
      <c r="Y24" s="7">
        <f t="shared" si="8"/>
        <v>381039.04870153358</v>
      </c>
      <c r="Z24" s="4">
        <f>+Y21/12</f>
        <v>42337.672077948177</v>
      </c>
      <c r="AA24" s="7">
        <f t="shared" si="8"/>
        <v>458658.11417777184</v>
      </c>
      <c r="AB24" s="4">
        <f>+AA22/12</f>
        <v>45865.811417777186</v>
      </c>
      <c r="AC24" s="7">
        <f>+AC23-AD24</f>
        <v>546567.58606184484</v>
      </c>
      <c r="AD24" s="4">
        <f>+AC23/12</f>
        <v>49687.962369258625</v>
      </c>
      <c r="AE24" s="25">
        <f>+AD24+AB24+Z24+X24+V24+T24+R24+P24</f>
        <v>645943.5108003621</v>
      </c>
      <c r="AO24" s="26">
        <f t="shared" si="0"/>
        <v>4426302</v>
      </c>
      <c r="AP24" s="26">
        <f t="shared" si="2"/>
        <v>645943.5108003621</v>
      </c>
      <c r="AQ24" s="7">
        <f t="shared" si="9"/>
        <v>0</v>
      </c>
      <c r="AS24" s="10" t="s">
        <v>12</v>
      </c>
      <c r="AT24" s="11">
        <f t="shared" si="10"/>
        <v>-747748.4568003621</v>
      </c>
      <c r="AU24" s="11">
        <f t="shared" si="11"/>
        <v>645943.5108003621</v>
      </c>
      <c r="AV24" s="4">
        <f t="shared" si="3"/>
        <v>101804.946</v>
      </c>
      <c r="AW24" s="7">
        <f t="shared" si="15"/>
        <v>645943.5108003621</v>
      </c>
      <c r="AX24" s="7">
        <f t="shared" si="12"/>
        <v>4426302</v>
      </c>
      <c r="AY24" s="4">
        <v>0</v>
      </c>
      <c r="AZ24" s="12"/>
      <c r="BA24" s="13">
        <f t="shared" si="13"/>
        <v>-101804.946</v>
      </c>
    </row>
    <row r="25" spans="2:53" x14ac:dyDescent="0.2">
      <c r="B25" s="10" t="s">
        <v>13</v>
      </c>
      <c r="C25" s="11">
        <f t="shared" si="4"/>
        <v>-801577.08270039223</v>
      </c>
      <c r="D25" s="11">
        <f t="shared" si="5"/>
        <v>699772.13670039224</v>
      </c>
      <c r="E25" s="4">
        <f t="shared" si="1"/>
        <v>101804.946</v>
      </c>
      <c r="F25" s="7">
        <f t="shared" si="14"/>
        <v>699772.13670039224</v>
      </c>
      <c r="G25" s="7">
        <f t="shared" si="6"/>
        <v>4426302</v>
      </c>
      <c r="H25" s="4">
        <v>0</v>
      </c>
      <c r="I25" s="12"/>
      <c r="J25" s="13">
        <f t="shared" si="7"/>
        <v>-101804.946</v>
      </c>
      <c r="K25" s="7"/>
      <c r="L25" s="7"/>
      <c r="M25" s="7"/>
      <c r="N25" s="10" t="s">
        <v>13</v>
      </c>
      <c r="O25" s="7">
        <f t="shared" si="8"/>
        <v>1106575.5</v>
      </c>
      <c r="P25" s="4">
        <f>+O16/12</f>
        <v>368858.5</v>
      </c>
      <c r="Q25" s="7">
        <f t="shared" si="8"/>
        <v>122952.83333333336</v>
      </c>
      <c r="R25" s="4">
        <f>+Q17/12</f>
        <v>30738.208333333332</v>
      </c>
      <c r="S25" s="7">
        <f t="shared" si="8"/>
        <v>166498.62847222225</v>
      </c>
      <c r="T25" s="4">
        <f>+S18/12</f>
        <v>33299.725694444445</v>
      </c>
      <c r="U25" s="7">
        <f t="shared" si="8"/>
        <v>216448.21701388888</v>
      </c>
      <c r="V25" s="4">
        <f>+U19/12</f>
        <v>36074.702835648146</v>
      </c>
      <c r="W25" s="7">
        <f t="shared" si="8"/>
        <v>273566.49650366523</v>
      </c>
      <c r="X25" s="4">
        <f>+W20/12</f>
        <v>39080.928071952156</v>
      </c>
      <c r="Y25" s="7">
        <f t="shared" si="8"/>
        <v>338701.37662358541</v>
      </c>
      <c r="Z25" s="4">
        <f>+Y21/12</f>
        <v>42337.672077948177</v>
      </c>
      <c r="AA25" s="7">
        <f t="shared" si="8"/>
        <v>412792.30275999464</v>
      </c>
      <c r="AB25" s="4">
        <f>+AA22/12</f>
        <v>45865.811417777186</v>
      </c>
      <c r="AC25" s="7">
        <f t="shared" si="8"/>
        <v>496879.6236925862</v>
      </c>
      <c r="AD25" s="4">
        <f>+AC23/12</f>
        <v>49687.962369258625</v>
      </c>
      <c r="AE25" s="7">
        <f>+AE24-AF25</f>
        <v>592114.88490033196</v>
      </c>
      <c r="AF25" s="4">
        <f>+AE24/12</f>
        <v>53828.625900030172</v>
      </c>
      <c r="AG25" s="25">
        <f>+AF25+AD25+AB25+Z25+X25+V25+T25+R25+P25</f>
        <v>699772.13670039224</v>
      </c>
      <c r="AO25" s="26">
        <f t="shared" si="0"/>
        <v>4426302</v>
      </c>
      <c r="AP25" s="26">
        <f t="shared" si="2"/>
        <v>699772.13670039224</v>
      </c>
      <c r="AQ25" s="7">
        <f t="shared" si="9"/>
        <v>0</v>
      </c>
      <c r="AS25" s="10" t="s">
        <v>13</v>
      </c>
      <c r="AT25" s="11">
        <f t="shared" si="10"/>
        <v>-801577.08270039223</v>
      </c>
      <c r="AU25" s="11">
        <f t="shared" si="11"/>
        <v>699772.13670039224</v>
      </c>
      <c r="AV25" s="4">
        <f t="shared" si="3"/>
        <v>101804.946</v>
      </c>
      <c r="AW25" s="7">
        <f t="shared" si="15"/>
        <v>699772.13670039224</v>
      </c>
      <c r="AX25" s="7">
        <f t="shared" si="12"/>
        <v>4426302</v>
      </c>
      <c r="AY25" s="4">
        <v>0</v>
      </c>
      <c r="AZ25" s="12"/>
      <c r="BA25" s="13">
        <f t="shared" si="13"/>
        <v>-101804.946</v>
      </c>
    </row>
    <row r="26" spans="2:53" x14ac:dyDescent="0.2">
      <c r="B26" s="10" t="s">
        <v>14</v>
      </c>
      <c r="C26" s="11">
        <f t="shared" si="4"/>
        <v>-859891.42742542492</v>
      </c>
      <c r="D26" s="11">
        <f t="shared" si="5"/>
        <v>758086.48142542492</v>
      </c>
      <c r="E26" s="4">
        <f t="shared" si="1"/>
        <v>101804.946</v>
      </c>
      <c r="F26" s="7">
        <f t="shared" si="14"/>
        <v>758086.48142542492</v>
      </c>
      <c r="G26" s="7">
        <f t="shared" si="6"/>
        <v>4426302</v>
      </c>
      <c r="H26" s="4">
        <f t="shared" ref="H26" si="20">+$B$12*-1</f>
        <v>-63900</v>
      </c>
      <c r="I26" s="12"/>
      <c r="J26" s="13">
        <f t="shared" si="7"/>
        <v>-165704.946</v>
      </c>
      <c r="K26" s="7"/>
      <c r="L26" s="7"/>
      <c r="M26" s="7"/>
      <c r="N26" s="10" t="s">
        <v>14</v>
      </c>
      <c r="O26" s="7">
        <f t="shared" si="8"/>
        <v>737717</v>
      </c>
      <c r="P26" s="4">
        <f>+O16/12</f>
        <v>368858.5</v>
      </c>
      <c r="Q26" s="7">
        <f t="shared" si="8"/>
        <v>92214.625000000029</v>
      </c>
      <c r="R26" s="4">
        <f>+Q17/12</f>
        <v>30738.208333333332</v>
      </c>
      <c r="S26" s="7">
        <f t="shared" si="8"/>
        <v>133198.90277777781</v>
      </c>
      <c r="T26" s="4">
        <f>+S18/12</f>
        <v>33299.725694444445</v>
      </c>
      <c r="U26" s="7">
        <f t="shared" si="8"/>
        <v>180373.51417824073</v>
      </c>
      <c r="V26" s="4">
        <f>+U19/12</f>
        <v>36074.702835648146</v>
      </c>
      <c r="W26" s="7">
        <f t="shared" si="8"/>
        <v>234485.56843171307</v>
      </c>
      <c r="X26" s="4">
        <f>+W20/12</f>
        <v>39080.928071952156</v>
      </c>
      <c r="Y26" s="7">
        <f t="shared" si="8"/>
        <v>296363.70454563724</v>
      </c>
      <c r="Z26" s="4">
        <f>+Y21/12</f>
        <v>42337.672077948177</v>
      </c>
      <c r="AA26" s="7">
        <f t="shared" si="8"/>
        <v>366926.49134221743</v>
      </c>
      <c r="AB26" s="4">
        <f>+AA22/12</f>
        <v>45865.811417777186</v>
      </c>
      <c r="AC26" s="7">
        <f t="shared" si="8"/>
        <v>447191.66132332757</v>
      </c>
      <c r="AD26" s="4">
        <f>+AC23/12</f>
        <v>49687.962369258625</v>
      </c>
      <c r="AE26" s="7">
        <f t="shared" si="8"/>
        <v>538286.25900030183</v>
      </c>
      <c r="AF26" s="4">
        <f>+AE24/12</f>
        <v>53828.625900030172</v>
      </c>
      <c r="AG26" s="7">
        <f>+AG25-AH26</f>
        <v>641457.79197535955</v>
      </c>
      <c r="AH26" s="4">
        <f>+AG25/12</f>
        <v>58314.344725032686</v>
      </c>
      <c r="AI26" s="25">
        <f>+AH26+AF26+AD26+AB26+Z26+X26+V26+T26+R26+P26</f>
        <v>758086.4814254248</v>
      </c>
      <c r="AO26" s="26">
        <f t="shared" si="0"/>
        <v>4426302</v>
      </c>
      <c r="AP26" s="26">
        <f t="shared" si="2"/>
        <v>758086.48142542492</v>
      </c>
      <c r="AQ26" s="7">
        <f t="shared" si="9"/>
        <v>0</v>
      </c>
      <c r="AS26" s="10" t="s">
        <v>14</v>
      </c>
      <c r="AT26" s="11">
        <f t="shared" si="10"/>
        <v>-859891.42742542492</v>
      </c>
      <c r="AU26" s="11">
        <f t="shared" si="11"/>
        <v>758086.48142542492</v>
      </c>
      <c r="AV26" s="4">
        <f t="shared" si="3"/>
        <v>101804.946</v>
      </c>
      <c r="AW26" s="7">
        <f t="shared" si="15"/>
        <v>758086.48142542492</v>
      </c>
      <c r="AX26" s="7">
        <f t="shared" si="12"/>
        <v>4426302</v>
      </c>
      <c r="AY26" s="4">
        <f t="shared" ref="AY26" si="21">+$B$12*-1</f>
        <v>-63900</v>
      </c>
      <c r="AZ26" s="12"/>
      <c r="BA26" s="13">
        <f t="shared" si="13"/>
        <v>-165704.946</v>
      </c>
    </row>
    <row r="27" spans="2:53" x14ac:dyDescent="0.2">
      <c r="B27" s="10" t="s">
        <v>15</v>
      </c>
      <c r="C27" s="11">
        <f t="shared" si="4"/>
        <v>-923065.30087754363</v>
      </c>
      <c r="D27" s="11">
        <f t="shared" si="5"/>
        <v>821260.35487754364</v>
      </c>
      <c r="E27" s="4">
        <f t="shared" si="1"/>
        <v>101804.946</v>
      </c>
      <c r="F27" s="7">
        <f t="shared" si="14"/>
        <v>821260.35487754364</v>
      </c>
      <c r="G27" s="7">
        <f t="shared" si="6"/>
        <v>4426302</v>
      </c>
      <c r="H27" s="4">
        <v>0</v>
      </c>
      <c r="I27" s="12"/>
      <c r="J27" s="13">
        <f t="shared" si="7"/>
        <v>-101804.946</v>
      </c>
      <c r="K27" s="7"/>
      <c r="L27" s="7"/>
      <c r="M27" s="7"/>
      <c r="N27" s="10" t="s">
        <v>15</v>
      </c>
      <c r="O27" s="7">
        <f t="shared" si="8"/>
        <v>368858.5</v>
      </c>
      <c r="P27" s="4">
        <f>+O16/12</f>
        <v>368858.5</v>
      </c>
      <c r="Q27" s="7">
        <f t="shared" si="8"/>
        <v>61476.416666666701</v>
      </c>
      <c r="R27" s="4">
        <f>+Q17/12</f>
        <v>30738.208333333332</v>
      </c>
      <c r="S27" s="7">
        <f t="shared" si="8"/>
        <v>99899.177083333372</v>
      </c>
      <c r="T27" s="4">
        <f>+S18/12</f>
        <v>33299.725694444445</v>
      </c>
      <c r="U27" s="7">
        <f t="shared" si="8"/>
        <v>144298.81134259258</v>
      </c>
      <c r="V27" s="4">
        <f>+U19/12</f>
        <v>36074.702835648146</v>
      </c>
      <c r="W27" s="7">
        <f t="shared" si="8"/>
        <v>195404.6403597609</v>
      </c>
      <c r="X27" s="4">
        <f>+W20/12</f>
        <v>39080.928071952156</v>
      </c>
      <c r="Y27" s="7">
        <f t="shared" si="8"/>
        <v>254026.03246768907</v>
      </c>
      <c r="Z27" s="4">
        <f>+Y21/12</f>
        <v>42337.672077948177</v>
      </c>
      <c r="AA27" s="7">
        <f t="shared" si="8"/>
        <v>321060.67992444022</v>
      </c>
      <c r="AB27" s="4">
        <f>+AA22/12</f>
        <v>45865.811417777186</v>
      </c>
      <c r="AC27" s="7">
        <f t="shared" si="8"/>
        <v>397503.69895406894</v>
      </c>
      <c r="AD27" s="4">
        <f>+AC23/12</f>
        <v>49687.962369258625</v>
      </c>
      <c r="AE27" s="7">
        <f t="shared" si="8"/>
        <v>484457.63310027163</v>
      </c>
      <c r="AF27" s="4">
        <f>+AE24/12</f>
        <v>53828.625900030172</v>
      </c>
      <c r="AG27" s="7">
        <f t="shared" si="8"/>
        <v>583143.44725032686</v>
      </c>
      <c r="AH27" s="4">
        <f>+AG25/12</f>
        <v>58314.344725032686</v>
      </c>
      <c r="AI27" s="7">
        <f>+AI26-AJ27</f>
        <v>694912.60797330609</v>
      </c>
      <c r="AJ27" s="4">
        <f>+AI26/12</f>
        <v>63173.873452118736</v>
      </c>
      <c r="AK27" s="25">
        <f>+AJ27+AH27+AF27+AD27+AB27+Z27+X27+V27+T27+R27+P27</f>
        <v>821260.35487754364</v>
      </c>
      <c r="AO27" s="26">
        <f t="shared" si="0"/>
        <v>4426302</v>
      </c>
      <c r="AP27" s="26">
        <f t="shared" si="2"/>
        <v>821260.35487754364</v>
      </c>
      <c r="AQ27" s="7">
        <f t="shared" si="9"/>
        <v>0</v>
      </c>
      <c r="AS27" s="10" t="s">
        <v>15</v>
      </c>
      <c r="AT27" s="11">
        <f t="shared" si="10"/>
        <v>-923065.30087754363</v>
      </c>
      <c r="AU27" s="11">
        <f t="shared" si="11"/>
        <v>821260.35487754364</v>
      </c>
      <c r="AV27" s="4">
        <f t="shared" si="3"/>
        <v>101804.946</v>
      </c>
      <c r="AW27" s="7">
        <f t="shared" si="15"/>
        <v>821260.35487754364</v>
      </c>
      <c r="AX27" s="7">
        <f t="shared" si="12"/>
        <v>4426302</v>
      </c>
      <c r="AY27" s="4">
        <v>0</v>
      </c>
      <c r="AZ27" s="12"/>
      <c r="BA27" s="13">
        <f t="shared" si="13"/>
        <v>-101804.946</v>
      </c>
    </row>
    <row r="28" spans="2:53" x14ac:dyDescent="0.2">
      <c r="B28" s="10" t="s">
        <v>16</v>
      </c>
      <c r="C28" s="11">
        <f t="shared" si="4"/>
        <v>-4528106.9460000005</v>
      </c>
      <c r="D28" s="11">
        <v>0</v>
      </c>
      <c r="E28" s="4">
        <f t="shared" si="1"/>
        <v>101804.946</v>
      </c>
      <c r="F28" s="7">
        <f>+G27</f>
        <v>4426302</v>
      </c>
      <c r="G28" s="7">
        <f t="shared" si="6"/>
        <v>0</v>
      </c>
      <c r="H28" s="4">
        <v>0</v>
      </c>
      <c r="I28" s="12"/>
      <c r="J28" s="13">
        <f t="shared" si="7"/>
        <v>-4528106.9460000005</v>
      </c>
      <c r="K28" s="7"/>
      <c r="L28" s="7"/>
      <c r="M28" s="7"/>
      <c r="N28" s="10" t="s">
        <v>16</v>
      </c>
      <c r="O28" s="7">
        <f t="shared" si="8"/>
        <v>0</v>
      </c>
      <c r="P28" s="4">
        <f>+O16/12</f>
        <v>368858.5</v>
      </c>
      <c r="Q28" s="7">
        <f t="shared" si="8"/>
        <v>30738.208333333369</v>
      </c>
      <c r="R28" s="4">
        <f>+Q17/12</f>
        <v>30738.208333333332</v>
      </c>
      <c r="S28" s="7">
        <f t="shared" si="8"/>
        <v>66599.451388888934</v>
      </c>
      <c r="T28" s="4">
        <f>+S18/12</f>
        <v>33299.725694444445</v>
      </c>
      <c r="U28" s="7">
        <f t="shared" si="8"/>
        <v>108224.10850694444</v>
      </c>
      <c r="V28" s="4">
        <f>+U19/12</f>
        <v>36074.702835648146</v>
      </c>
      <c r="W28" s="7">
        <f t="shared" si="8"/>
        <v>156323.71228780874</v>
      </c>
      <c r="X28" s="4">
        <f>+W20/12</f>
        <v>39080.928071952156</v>
      </c>
      <c r="Y28" s="7">
        <f t="shared" si="8"/>
        <v>211688.3603897409</v>
      </c>
      <c r="Z28" s="4">
        <f>+Y21/12</f>
        <v>42337.672077948177</v>
      </c>
      <c r="AA28" s="7">
        <f t="shared" si="8"/>
        <v>275194.86850666301</v>
      </c>
      <c r="AB28" s="4">
        <f>+AA22/12</f>
        <v>45865.811417777186</v>
      </c>
      <c r="AC28" s="7">
        <f t="shared" si="8"/>
        <v>347815.73658481031</v>
      </c>
      <c r="AD28" s="4">
        <f>+AC23/12</f>
        <v>49687.962369258625</v>
      </c>
      <c r="AE28" s="7">
        <f t="shared" si="8"/>
        <v>430629.00720024144</v>
      </c>
      <c r="AF28" s="4">
        <f>+AE24/12</f>
        <v>53828.625900030172</v>
      </c>
      <c r="AG28" s="7">
        <f t="shared" si="8"/>
        <v>524829.10252529418</v>
      </c>
      <c r="AH28" s="4">
        <f>+AG25/12</f>
        <v>58314.344725032686</v>
      </c>
      <c r="AI28" s="7">
        <f t="shared" si="8"/>
        <v>631738.73452118738</v>
      </c>
      <c r="AJ28" s="4">
        <f>+AI26/12</f>
        <v>63173.873452118736</v>
      </c>
      <c r="AK28" s="7">
        <f>+AK27-AL28</f>
        <v>752821.9919710817</v>
      </c>
      <c r="AL28" s="7">
        <f>+AK27/12</f>
        <v>68438.362906461974</v>
      </c>
      <c r="AM28" s="25">
        <f>+AL28+AJ28+AH28+AF28+AD28+AB28+Z28+X28+V28+T28+R28+P28</f>
        <v>889698.71778400557</v>
      </c>
      <c r="AO28" s="26">
        <f>+O28+Q28+S28+U28+W28+Y28+AA28+AC28+AE28+AG28+AI28+AK28+AM28</f>
        <v>4426302</v>
      </c>
      <c r="AP28" s="26">
        <f>+AO28</f>
        <v>4426302</v>
      </c>
      <c r="AQ28" s="7">
        <f t="shared" si="9"/>
        <v>0</v>
      </c>
      <c r="AS28" s="10" t="s">
        <v>16</v>
      </c>
      <c r="AT28" s="11">
        <f t="shared" si="10"/>
        <v>-4528106.9460000005</v>
      </c>
      <c r="AU28" s="11">
        <v>0</v>
      </c>
      <c r="AV28" s="4">
        <f t="shared" si="3"/>
        <v>101804.946</v>
      </c>
      <c r="AW28" s="7">
        <f>+AX27</f>
        <v>4426302</v>
      </c>
      <c r="AX28" s="7">
        <f t="shared" si="12"/>
        <v>0</v>
      </c>
      <c r="AY28" s="4">
        <v>0</v>
      </c>
      <c r="AZ28" s="12"/>
      <c r="BA28" s="13">
        <f t="shared" si="13"/>
        <v>-4528106.9460000005</v>
      </c>
    </row>
    <row r="29" spans="2:53" x14ac:dyDescent="0.2">
      <c r="B29" s="16" t="s">
        <v>35</v>
      </c>
      <c r="C29" s="16">
        <f>SUM(C16:C28)</f>
        <v>-11898043.965408068</v>
      </c>
      <c r="D29" s="16">
        <f t="shared" ref="D29:J29" si="22">SUM(D16:D28)</f>
        <v>10676384.613408066</v>
      </c>
      <c r="E29" s="16">
        <f t="shared" si="22"/>
        <v>1221659.352</v>
      </c>
      <c r="F29" s="16">
        <f t="shared" si="22"/>
        <v>10676384.613408066</v>
      </c>
      <c r="G29" s="16">
        <f t="shared" si="22"/>
        <v>53115624</v>
      </c>
      <c r="H29" s="16">
        <f t="shared" si="22"/>
        <v>-255600</v>
      </c>
      <c r="I29" s="12"/>
      <c r="J29" s="16">
        <f t="shared" si="22"/>
        <v>-1477259.3520000009</v>
      </c>
      <c r="K29" s="7"/>
      <c r="L29" s="7"/>
      <c r="M29" s="7"/>
      <c r="Q29" s="7"/>
      <c r="R29" s="10"/>
      <c r="S29" s="7"/>
      <c r="T29" s="4"/>
      <c r="U29" s="7"/>
      <c r="V29" s="7"/>
      <c r="W29" s="7"/>
      <c r="X29" s="4"/>
      <c r="Y29" s="7"/>
      <c r="AA29" s="7"/>
      <c r="AC29" s="7"/>
      <c r="AD29" s="4"/>
      <c r="AE29" s="7"/>
      <c r="AF29" s="4"/>
      <c r="AG29" s="7"/>
      <c r="AH29" s="4"/>
      <c r="AI29" s="7"/>
      <c r="AJ29" s="4"/>
      <c r="AS29" s="16" t="s">
        <v>35</v>
      </c>
      <c r="AT29" s="16">
        <f>SUM(AT16:AT28)</f>
        <v>-11898043.965408068</v>
      </c>
      <c r="AU29" s="16">
        <f t="shared" ref="AU29" si="23">SUM(AU16:AU28)</f>
        <v>10676384.613408066</v>
      </c>
      <c r="AV29" s="16">
        <f t="shared" ref="AV29" si="24">SUM(AV16:AV28)</f>
        <v>1221659.352</v>
      </c>
      <c r="AW29" s="16">
        <f t="shared" ref="AW29" si="25">SUM(AW16:AW28)</f>
        <v>10676384.613408066</v>
      </c>
      <c r="AX29" s="16">
        <f t="shared" ref="AX29" si="26">SUM(AX16:AX28)</f>
        <v>53115624</v>
      </c>
      <c r="AY29" s="16">
        <f t="shared" ref="AY29" si="27">SUM(AY16:AY28)</f>
        <v>-255600</v>
      </c>
      <c r="AZ29" s="12"/>
      <c r="BA29" s="16">
        <f t="shared" ref="BA29" si="28">SUM(BA16:BA28)</f>
        <v>-1477259.3520000009</v>
      </c>
    </row>
    <row r="30" spans="2:53" x14ac:dyDescent="0.2">
      <c r="B30" s="10"/>
      <c r="C30" s="11"/>
      <c r="D30" s="11"/>
      <c r="E30" s="4"/>
      <c r="F30" s="7"/>
      <c r="G30" s="7"/>
      <c r="H30" s="4"/>
      <c r="I30" s="12"/>
      <c r="J30" s="4"/>
      <c r="K30" s="7"/>
      <c r="L30" s="7"/>
      <c r="M30" s="7"/>
      <c r="R30" s="10"/>
      <c r="S30" s="7"/>
      <c r="T30" s="4"/>
      <c r="U30" s="7"/>
      <c r="V30" s="7"/>
      <c r="W30" s="7"/>
      <c r="X30" s="4"/>
      <c r="Y30" s="7"/>
      <c r="AA30" s="7"/>
      <c r="AC30" s="7"/>
      <c r="AE30" s="7"/>
      <c r="AG30" s="7"/>
      <c r="AI30" s="7"/>
      <c r="AZ30" s="12"/>
    </row>
    <row r="31" spans="2:53" x14ac:dyDescent="0.2">
      <c r="B31" s="10"/>
      <c r="C31" s="11"/>
      <c r="D31" s="11"/>
      <c r="E31" s="4"/>
      <c r="F31" s="7"/>
      <c r="G31" s="7"/>
      <c r="H31" s="4"/>
      <c r="I31" s="12"/>
      <c r="J31" s="4"/>
      <c r="K31" s="7"/>
      <c r="L31" s="7"/>
      <c r="M31" s="7"/>
      <c r="R31" s="10"/>
      <c r="S31" s="7"/>
      <c r="T31" s="4"/>
      <c r="U31" s="7"/>
      <c r="V31" s="7"/>
      <c r="W31" s="7"/>
      <c r="X31" s="4"/>
      <c r="Y31" s="7"/>
      <c r="AA31" s="7"/>
      <c r="AC31" s="7"/>
      <c r="AE31" s="7"/>
      <c r="AG31" s="7"/>
      <c r="AI31" s="7"/>
      <c r="AZ31" s="12"/>
    </row>
    <row r="32" spans="2:53" x14ac:dyDescent="0.2">
      <c r="B32" s="24" t="s">
        <v>33</v>
      </c>
      <c r="C32" s="11"/>
      <c r="D32" s="11"/>
      <c r="E32" s="4"/>
      <c r="F32" s="7"/>
      <c r="G32" s="7"/>
      <c r="H32" s="4"/>
      <c r="I32" s="12"/>
      <c r="J32" s="4"/>
      <c r="K32" s="7"/>
      <c r="L32" s="7"/>
      <c r="M32" s="7"/>
      <c r="R32" s="10"/>
      <c r="S32" s="11"/>
      <c r="T32" s="4"/>
      <c r="U32" s="7"/>
      <c r="V32" s="7"/>
      <c r="W32" s="7"/>
      <c r="X32" s="4"/>
      <c r="Y32" s="7"/>
      <c r="AA32" s="7"/>
      <c r="AC32" s="7"/>
      <c r="AE32" s="7"/>
      <c r="AG32" s="7"/>
      <c r="AI32" s="7"/>
      <c r="AZ32" s="12"/>
    </row>
    <row r="33" spans="2:52" s="22" customFormat="1" x14ac:dyDescent="0.2">
      <c r="B33" s="28" t="s">
        <v>40</v>
      </c>
      <c r="C33" s="18"/>
      <c r="D33" s="18"/>
      <c r="E33" s="19"/>
      <c r="F33" s="20"/>
      <c r="G33" s="20"/>
      <c r="H33" s="19"/>
      <c r="I33" s="21"/>
      <c r="J33" s="19"/>
      <c r="K33" s="20"/>
      <c r="L33" s="20"/>
      <c r="M33" s="20"/>
      <c r="R33" s="23"/>
      <c r="S33" s="18"/>
      <c r="T33" s="19"/>
      <c r="U33" s="20"/>
      <c r="V33" s="20"/>
      <c r="W33" s="7"/>
      <c r="X33" s="19"/>
      <c r="Y33" s="7"/>
      <c r="AA33" s="7"/>
      <c r="AC33" s="7"/>
      <c r="AE33" s="7"/>
      <c r="AG33" s="7"/>
      <c r="AI33" s="7"/>
      <c r="AZ33" s="21"/>
    </row>
    <row r="34" spans="2:52" s="22" customFormat="1" x14ac:dyDescent="0.2">
      <c r="B34" s="28" t="s">
        <v>39</v>
      </c>
      <c r="C34" s="18"/>
      <c r="D34" s="18"/>
      <c r="E34" s="19"/>
      <c r="F34" s="20"/>
      <c r="G34" s="20"/>
      <c r="H34" s="19"/>
      <c r="I34" s="21"/>
      <c r="J34" s="19"/>
      <c r="K34" s="20"/>
      <c r="L34" s="20"/>
      <c r="M34" s="20"/>
      <c r="R34" s="23"/>
      <c r="S34" s="18"/>
      <c r="T34" s="19"/>
      <c r="U34" s="20"/>
      <c r="V34" s="20"/>
      <c r="W34" s="19"/>
      <c r="X34" s="19"/>
      <c r="Y34" s="7"/>
      <c r="AA34" s="7"/>
      <c r="AC34" s="7"/>
      <c r="AE34" s="7"/>
      <c r="AG34" s="7"/>
      <c r="AI34" s="7"/>
      <c r="AZ34" s="21"/>
    </row>
    <row r="35" spans="2:52" s="22" customFormat="1" x14ac:dyDescent="0.2">
      <c r="B35" s="28" t="s">
        <v>38</v>
      </c>
      <c r="C35" s="18"/>
      <c r="D35" s="18"/>
      <c r="E35" s="19"/>
      <c r="F35" s="20"/>
      <c r="G35" s="20"/>
      <c r="H35" s="19"/>
      <c r="I35" s="21"/>
      <c r="J35" s="19"/>
      <c r="K35" s="20"/>
      <c r="L35" s="20"/>
      <c r="M35" s="20"/>
      <c r="R35" s="23"/>
      <c r="S35" s="18"/>
      <c r="T35" s="19"/>
      <c r="U35" s="20"/>
      <c r="V35" s="20"/>
      <c r="W35" s="19"/>
      <c r="X35" s="19"/>
      <c r="Y35" s="20"/>
      <c r="AA35" s="7"/>
      <c r="AC35" s="7"/>
      <c r="AE35" s="7"/>
      <c r="AG35" s="7"/>
      <c r="AI35" s="7"/>
      <c r="AZ35" s="21"/>
    </row>
    <row r="36" spans="2:52" s="22" customFormat="1" x14ac:dyDescent="0.2">
      <c r="B36" s="28" t="s">
        <v>37</v>
      </c>
      <c r="C36" s="18"/>
      <c r="D36" s="18"/>
      <c r="E36" s="19"/>
      <c r="F36" s="20"/>
      <c r="G36" s="20"/>
      <c r="H36" s="19"/>
      <c r="I36" s="21"/>
      <c r="J36" s="19"/>
      <c r="K36" s="20"/>
      <c r="L36" s="20"/>
      <c r="M36" s="20"/>
      <c r="R36" s="23"/>
      <c r="S36" s="18"/>
      <c r="T36" s="19"/>
      <c r="U36" s="20"/>
      <c r="V36" s="20"/>
      <c r="W36" s="19"/>
      <c r="X36" s="19"/>
      <c r="Y36" s="20"/>
      <c r="AC36" s="7"/>
      <c r="AE36" s="7"/>
      <c r="AG36" s="7"/>
      <c r="AI36" s="7"/>
      <c r="AZ36" s="21"/>
    </row>
    <row r="37" spans="2:52" s="22" customFormat="1" x14ac:dyDescent="0.2">
      <c r="B37" s="29" t="s">
        <v>36</v>
      </c>
      <c r="C37" s="18"/>
      <c r="D37" s="18"/>
      <c r="E37" s="19"/>
      <c r="F37" s="20"/>
      <c r="G37" s="20"/>
      <c r="H37" s="19"/>
      <c r="I37" s="21"/>
      <c r="J37" s="19"/>
      <c r="K37" s="20"/>
      <c r="L37" s="20"/>
      <c r="M37" s="20"/>
      <c r="R37" s="23"/>
      <c r="S37" s="18"/>
      <c r="T37" s="19"/>
      <c r="U37" s="20"/>
      <c r="V37" s="20"/>
      <c r="W37" s="19"/>
      <c r="X37" s="19"/>
      <c r="Y37" s="20"/>
      <c r="AE37" s="7"/>
      <c r="AG37" s="7"/>
      <c r="AI37" s="7"/>
      <c r="AZ37" s="21"/>
    </row>
    <row r="38" spans="2:52" x14ac:dyDescent="0.2">
      <c r="B38" s="29" t="s">
        <v>41</v>
      </c>
      <c r="C38" s="11"/>
      <c r="D38" s="11"/>
      <c r="E38" s="4"/>
      <c r="F38" s="7"/>
      <c r="G38" s="7"/>
      <c r="H38" s="4"/>
      <c r="I38" s="12"/>
      <c r="J38" s="4"/>
      <c r="K38" s="7"/>
      <c r="L38" s="7"/>
      <c r="M38" s="7"/>
      <c r="AZ38" s="12"/>
    </row>
    <row r="39" spans="2:52" x14ac:dyDescent="0.2">
      <c r="B39" s="30" t="s">
        <v>30</v>
      </c>
      <c r="C39" s="11"/>
      <c r="D39" s="11"/>
      <c r="E39" s="4"/>
      <c r="F39" s="7"/>
      <c r="G39" s="7"/>
      <c r="H39" s="4"/>
      <c r="I39" s="12"/>
      <c r="J39" s="4"/>
      <c r="K39" s="7"/>
      <c r="L39" s="7"/>
      <c r="M39" s="7"/>
      <c r="AZ39" s="12"/>
    </row>
    <row r="40" spans="2:52" x14ac:dyDescent="0.2">
      <c r="B40" s="30" t="s">
        <v>31</v>
      </c>
      <c r="C40" s="11"/>
      <c r="D40" s="11"/>
      <c r="E40" s="4"/>
      <c r="F40" s="7"/>
      <c r="G40" s="7"/>
      <c r="H40" s="4"/>
      <c r="I40" s="12"/>
      <c r="J40" s="4"/>
      <c r="K40" s="7"/>
      <c r="L40" s="7"/>
      <c r="M40" s="7"/>
      <c r="AZ40" s="12"/>
    </row>
    <row r="41" spans="2:52" x14ac:dyDescent="0.2">
      <c r="B41" s="30" t="s">
        <v>32</v>
      </c>
      <c r="C41" s="11"/>
      <c r="D41" s="11"/>
      <c r="E41" s="4"/>
      <c r="F41" s="7"/>
      <c r="G41" s="7"/>
      <c r="H41" s="4"/>
      <c r="I41" s="12"/>
      <c r="J41" s="4"/>
      <c r="K41" s="7"/>
      <c r="L41" s="7"/>
      <c r="M41" s="7"/>
      <c r="AZ41" s="12"/>
    </row>
    <row r="42" spans="2:52" x14ac:dyDescent="0.2">
      <c r="B42" s="29" t="s">
        <v>42</v>
      </c>
      <c r="C42" s="11"/>
      <c r="D42" s="11"/>
      <c r="E42" s="4"/>
      <c r="F42" s="7"/>
      <c r="G42" s="7"/>
      <c r="H42" s="4"/>
      <c r="I42" s="12"/>
      <c r="J42" s="4"/>
      <c r="K42" s="7"/>
      <c r="L42" s="7"/>
      <c r="M42" s="7"/>
      <c r="AZ42" s="12"/>
    </row>
    <row r="43" spans="2:52" x14ac:dyDescent="0.2">
      <c r="B43" s="29" t="s">
        <v>43</v>
      </c>
      <c r="C43" s="11"/>
      <c r="D43" s="11"/>
      <c r="E43" s="4"/>
      <c r="F43" s="7"/>
      <c r="G43" s="7"/>
      <c r="H43" s="4"/>
      <c r="I43" s="12"/>
      <c r="J43" s="4"/>
      <c r="K43" s="7"/>
      <c r="L43" s="7"/>
      <c r="M43" s="7"/>
      <c r="AZ43" s="12"/>
    </row>
    <row r="44" spans="2:52" x14ac:dyDescent="0.2">
      <c r="B44" s="29" t="s">
        <v>47</v>
      </c>
      <c r="C44" s="11"/>
      <c r="D44" s="11"/>
      <c r="E44" s="4"/>
      <c r="F44" s="7"/>
      <c r="G44" s="7"/>
      <c r="H44" s="4"/>
      <c r="I44" s="12"/>
      <c r="J44" s="4"/>
      <c r="K44" s="7"/>
      <c r="L44" s="7"/>
      <c r="M44" s="7"/>
      <c r="AZ44" s="12"/>
    </row>
    <row r="45" spans="2:52" x14ac:dyDescent="0.2">
      <c r="B45" s="10"/>
      <c r="C45" s="11"/>
      <c r="D45" s="11"/>
      <c r="E45" s="4"/>
      <c r="F45" s="7"/>
      <c r="G45" s="7"/>
      <c r="H45" s="4"/>
      <c r="I45" s="12"/>
      <c r="J45" s="4"/>
      <c r="K45" s="7"/>
      <c r="L45" s="7"/>
      <c r="M45" s="7"/>
      <c r="AZ45" s="12"/>
    </row>
    <row r="46" spans="2:52" x14ac:dyDescent="0.2">
      <c r="B46" s="10"/>
      <c r="C46" s="11"/>
      <c r="D46" s="11"/>
      <c r="E46" s="4"/>
      <c r="F46" s="7"/>
      <c r="G46" s="7"/>
      <c r="H46" s="4"/>
      <c r="I46" s="12"/>
      <c r="J46" s="4"/>
      <c r="K46" s="7"/>
      <c r="L46" s="7"/>
      <c r="M46" s="7"/>
      <c r="AZ46" s="12"/>
    </row>
    <row r="47" spans="2:52" x14ac:dyDescent="0.2">
      <c r="B47" s="10"/>
      <c r="C47" s="11"/>
      <c r="D47" s="11"/>
      <c r="E47" s="4"/>
      <c r="F47" s="7"/>
      <c r="G47" s="7"/>
      <c r="H47" s="4"/>
      <c r="I47" s="12"/>
      <c r="J47" s="4"/>
      <c r="K47" s="7"/>
      <c r="L47" s="7"/>
      <c r="M47" s="7"/>
      <c r="AZ47" s="12"/>
    </row>
    <row r="48" spans="2:52" x14ac:dyDescent="0.2">
      <c r="B48" s="10"/>
      <c r="C48" s="11"/>
      <c r="D48" s="11"/>
      <c r="E48" s="4"/>
      <c r="F48" s="7"/>
      <c r="G48" s="7"/>
      <c r="H48" s="4"/>
      <c r="I48" s="12"/>
      <c r="J48" s="4"/>
      <c r="K48" s="7"/>
      <c r="L48" s="7"/>
      <c r="M48" s="7"/>
      <c r="AZ48" s="12"/>
    </row>
    <row r="49" spans="2:52" x14ac:dyDescent="0.2">
      <c r="B49" s="10"/>
      <c r="C49" s="11"/>
      <c r="D49" s="11"/>
      <c r="E49" s="4"/>
      <c r="F49" s="7"/>
      <c r="G49" s="7"/>
      <c r="H49" s="4"/>
      <c r="I49" s="12"/>
      <c r="J49" s="4"/>
      <c r="K49" s="7"/>
      <c r="L49" s="7"/>
      <c r="M49" s="7"/>
      <c r="AZ49" s="12"/>
    </row>
    <row r="50" spans="2:52" x14ac:dyDescent="0.2">
      <c r="B50" s="10"/>
      <c r="C50" s="11"/>
      <c r="D50" s="11"/>
      <c r="E50" s="4"/>
      <c r="F50" s="7"/>
      <c r="G50" s="7"/>
      <c r="H50" s="4"/>
      <c r="I50" s="12"/>
      <c r="J50" s="4"/>
      <c r="K50" s="7"/>
      <c r="L50" s="7"/>
      <c r="M50" s="7"/>
      <c r="AZ50" s="12"/>
    </row>
    <row r="51" spans="2:52" x14ac:dyDescent="0.2">
      <c r="B51" s="10"/>
      <c r="C51" s="11"/>
      <c r="D51" s="11"/>
      <c r="E51" s="4"/>
      <c r="F51" s="7"/>
      <c r="G51" s="7"/>
      <c r="H51" s="4"/>
      <c r="I51" s="12"/>
      <c r="J51" s="4"/>
      <c r="K51" s="7"/>
      <c r="L51" s="7"/>
      <c r="M51" s="7"/>
      <c r="AZ51" s="12"/>
    </row>
    <row r="52" spans="2:52" x14ac:dyDescent="0.2">
      <c r="B52" s="10"/>
      <c r="C52" s="11"/>
      <c r="D52" s="11"/>
      <c r="E52" s="4"/>
      <c r="F52" s="7"/>
      <c r="G52" s="7"/>
      <c r="H52" s="4"/>
      <c r="I52" s="12"/>
      <c r="J52" s="4"/>
      <c r="K52" s="7"/>
      <c r="L52" s="7"/>
      <c r="M52" s="7"/>
      <c r="AZ52" s="12"/>
    </row>
    <row r="53" spans="2:52" x14ac:dyDescent="0.2">
      <c r="B53" s="10"/>
      <c r="C53" s="11"/>
      <c r="D53" s="11"/>
      <c r="E53" s="4"/>
      <c r="F53" s="7"/>
      <c r="G53" s="7"/>
      <c r="H53" s="4"/>
      <c r="I53" s="12"/>
      <c r="J53" s="4"/>
      <c r="K53" s="7"/>
      <c r="L53" s="7"/>
      <c r="M53" s="7"/>
      <c r="AZ53" s="12"/>
    </row>
    <row r="54" spans="2:52" x14ac:dyDescent="0.2">
      <c r="B54" s="10"/>
      <c r="C54" s="11"/>
      <c r="D54" s="11"/>
      <c r="E54" s="4"/>
      <c r="F54" s="7"/>
      <c r="G54" s="7"/>
      <c r="H54" s="4"/>
      <c r="I54" s="12"/>
      <c r="J54" s="4"/>
      <c r="K54" s="7"/>
      <c r="L54" s="7"/>
      <c r="M54" s="7"/>
      <c r="AZ54" s="12"/>
    </row>
    <row r="55" spans="2:52" x14ac:dyDescent="0.2">
      <c r="B55" s="10"/>
      <c r="C55" s="11"/>
      <c r="D55" s="11"/>
      <c r="E55" s="4"/>
      <c r="F55" s="7"/>
      <c r="G55" s="7"/>
      <c r="H55" s="4"/>
      <c r="I55" s="12"/>
      <c r="J55" s="4"/>
      <c r="K55" s="7"/>
      <c r="L55" s="7"/>
      <c r="M55" s="7"/>
      <c r="AZ55" s="12"/>
    </row>
    <row r="56" spans="2:52" x14ac:dyDescent="0.2">
      <c r="B56" s="10"/>
      <c r="C56" s="11"/>
      <c r="D56" s="11"/>
      <c r="E56" s="4"/>
      <c r="F56" s="7"/>
      <c r="G56" s="7"/>
      <c r="H56" s="4"/>
      <c r="I56" s="12"/>
      <c r="J56" s="4"/>
      <c r="K56" s="7"/>
      <c r="L56" s="7"/>
      <c r="M56" s="7"/>
      <c r="AZ56" s="12"/>
    </row>
    <row r="57" spans="2:52" x14ac:dyDescent="0.2">
      <c r="B57" s="10"/>
      <c r="C57" s="11"/>
      <c r="D57" s="11"/>
      <c r="E57" s="4"/>
      <c r="F57" s="7"/>
      <c r="G57" s="7"/>
      <c r="H57" s="4"/>
      <c r="I57" s="12"/>
      <c r="J57" s="4"/>
      <c r="K57" s="7"/>
      <c r="L57" s="7"/>
      <c r="M57" s="7"/>
      <c r="AZ57" s="12"/>
    </row>
    <row r="58" spans="2:52" x14ac:dyDescent="0.2">
      <c r="B58" s="10"/>
      <c r="C58" s="11"/>
      <c r="D58" s="11"/>
      <c r="E58" s="4"/>
      <c r="F58" s="7"/>
      <c r="G58" s="7"/>
      <c r="H58" s="4"/>
      <c r="I58" s="12"/>
      <c r="J58" s="4"/>
      <c r="K58" s="7"/>
      <c r="L58" s="7"/>
      <c r="M58" s="7"/>
      <c r="AZ58" s="12"/>
    </row>
    <row r="59" spans="2:52" x14ac:dyDescent="0.2">
      <c r="B59" s="10"/>
      <c r="C59" s="11"/>
      <c r="D59" s="11"/>
      <c r="E59" s="4"/>
      <c r="F59" s="7"/>
      <c r="G59" s="7"/>
      <c r="H59" s="4"/>
      <c r="I59" s="12"/>
      <c r="J59" s="4"/>
      <c r="K59" s="7"/>
      <c r="L59" s="7"/>
      <c r="M59" s="7"/>
      <c r="AZ59" s="12"/>
    </row>
    <row r="60" spans="2:52" x14ac:dyDescent="0.2">
      <c r="B60" s="10"/>
      <c r="C60" s="11"/>
      <c r="D60" s="11"/>
      <c r="E60" s="4"/>
      <c r="F60" s="7"/>
      <c r="G60" s="7"/>
      <c r="H60" s="4"/>
      <c r="I60" s="12"/>
      <c r="J60" s="4"/>
      <c r="K60" s="7"/>
      <c r="L60" s="7"/>
      <c r="M60" s="7"/>
      <c r="AZ60" s="12"/>
    </row>
    <row r="61" spans="2:52" x14ac:dyDescent="0.2">
      <c r="B61" s="10"/>
      <c r="C61" s="11"/>
      <c r="D61" s="11"/>
      <c r="E61" s="4"/>
      <c r="F61" s="7"/>
      <c r="G61" s="7"/>
      <c r="H61" s="4"/>
      <c r="I61" s="12"/>
      <c r="J61" s="4"/>
      <c r="K61" s="7"/>
      <c r="L61" s="7"/>
      <c r="M61" s="7"/>
      <c r="AZ61" s="12"/>
    </row>
    <row r="62" spans="2:52" x14ac:dyDescent="0.2">
      <c r="B62" s="10"/>
      <c r="C62" s="11"/>
      <c r="D62" s="11"/>
      <c r="E62" s="4"/>
      <c r="F62" s="7"/>
      <c r="G62" s="7"/>
      <c r="H62" s="4"/>
      <c r="I62" s="12"/>
      <c r="J62" s="4"/>
      <c r="K62" s="7"/>
      <c r="L62" s="7"/>
      <c r="M62" s="7"/>
      <c r="AZ62" s="12"/>
    </row>
    <row r="63" spans="2:52" x14ac:dyDescent="0.2">
      <c r="B63" s="10"/>
      <c r="C63" s="11"/>
      <c r="D63" s="11"/>
      <c r="E63" s="4"/>
      <c r="F63" s="7"/>
      <c r="G63" s="7"/>
      <c r="H63" s="4"/>
      <c r="I63" s="12"/>
      <c r="J63" s="4"/>
      <c r="K63" s="7"/>
      <c r="L63" s="7"/>
      <c r="M63" s="7"/>
      <c r="AZ63" s="12"/>
    </row>
    <row r="64" spans="2:52" x14ac:dyDescent="0.2">
      <c r="B64" s="10"/>
      <c r="C64" s="11"/>
      <c r="D64" s="11"/>
      <c r="E64" s="4"/>
      <c r="F64" s="7"/>
      <c r="G64" s="7"/>
      <c r="H64" s="4"/>
      <c r="I64" s="12"/>
      <c r="J64" s="4"/>
      <c r="K64" s="7"/>
      <c r="L64" s="7"/>
      <c r="M64" s="7"/>
      <c r="AZ64" s="12"/>
    </row>
    <row r="65" spans="2:52" x14ac:dyDescent="0.2">
      <c r="B65" s="10"/>
      <c r="C65" s="11"/>
      <c r="D65" s="11"/>
      <c r="E65" s="4"/>
      <c r="F65" s="7"/>
      <c r="G65" s="7"/>
      <c r="H65" s="4"/>
      <c r="I65" s="12"/>
      <c r="J65" s="4"/>
      <c r="K65" s="7"/>
      <c r="L65" s="7"/>
      <c r="M65" s="7"/>
      <c r="AZ65" s="12"/>
    </row>
    <row r="66" spans="2:52" x14ac:dyDescent="0.2">
      <c r="B66" s="10"/>
      <c r="C66" s="11"/>
      <c r="D66" s="11"/>
      <c r="E66" s="4"/>
      <c r="F66" s="7"/>
      <c r="G66" s="7"/>
      <c r="H66" s="4"/>
      <c r="I66" s="12"/>
      <c r="J66" s="4"/>
      <c r="K66" s="7"/>
      <c r="L66" s="7"/>
      <c r="M66" s="7"/>
      <c r="AZ66" s="12"/>
    </row>
    <row r="67" spans="2:52" x14ac:dyDescent="0.2">
      <c r="B67" s="10"/>
      <c r="C67" s="11"/>
      <c r="D67" s="11"/>
      <c r="E67" s="4"/>
      <c r="F67" s="7"/>
      <c r="G67" s="7"/>
      <c r="H67" s="4"/>
      <c r="I67" s="12"/>
      <c r="J67" s="4"/>
      <c r="K67" s="7"/>
      <c r="L67" s="7"/>
      <c r="M67" s="7"/>
      <c r="AZ67" s="12"/>
    </row>
    <row r="68" spans="2:52" x14ac:dyDescent="0.2">
      <c r="B68" s="10"/>
      <c r="C68" s="11"/>
      <c r="D68" s="11"/>
      <c r="E68" s="4"/>
      <c r="F68" s="7"/>
      <c r="G68" s="7"/>
      <c r="H68" s="4"/>
      <c r="I68" s="12"/>
      <c r="J68" s="4"/>
      <c r="K68" s="7"/>
      <c r="L68" s="7"/>
      <c r="M68" s="7"/>
      <c r="AZ68" s="12"/>
    </row>
    <row r="69" spans="2:52" x14ac:dyDescent="0.2">
      <c r="B69" s="10"/>
      <c r="C69" s="11"/>
      <c r="D69" s="11"/>
      <c r="E69" s="4"/>
      <c r="F69" s="7"/>
      <c r="G69" s="7"/>
      <c r="H69" s="4"/>
      <c r="I69" s="12"/>
      <c r="J69" s="4"/>
      <c r="K69" s="7"/>
      <c r="L69" s="7"/>
      <c r="M69" s="7"/>
      <c r="AZ69" s="12"/>
    </row>
    <row r="70" spans="2:52" x14ac:dyDescent="0.2">
      <c r="B70" s="10"/>
      <c r="C70" s="11"/>
      <c r="D70" s="11"/>
      <c r="E70" s="4"/>
      <c r="F70" s="7"/>
      <c r="G70" s="7"/>
      <c r="H70" s="4"/>
      <c r="I70" s="12"/>
      <c r="J70" s="4"/>
      <c r="K70" s="7"/>
      <c r="L70" s="7"/>
      <c r="M70" s="7"/>
      <c r="AZ70" s="12"/>
    </row>
    <row r="71" spans="2:52" x14ac:dyDescent="0.2">
      <c r="B71" s="10"/>
      <c r="C71" s="11"/>
      <c r="D71" s="11"/>
      <c r="E71" s="4"/>
      <c r="F71" s="7"/>
      <c r="G71" s="7"/>
      <c r="H71" s="4"/>
      <c r="I71" s="12"/>
      <c r="J71" s="4"/>
      <c r="K71" s="7"/>
      <c r="L71" s="7"/>
      <c r="M71" s="7"/>
      <c r="AZ71" s="12"/>
    </row>
    <row r="72" spans="2:52" x14ac:dyDescent="0.2">
      <c r="B72" s="10"/>
      <c r="C72" s="11"/>
      <c r="D72" s="11"/>
      <c r="E72" s="4"/>
      <c r="F72" s="7"/>
      <c r="G72" s="7"/>
      <c r="H72" s="4"/>
      <c r="I72" s="12"/>
      <c r="J72" s="4"/>
      <c r="K72" s="7"/>
      <c r="L72" s="7"/>
      <c r="M72" s="7"/>
      <c r="AZ72" s="12"/>
    </row>
    <row r="73" spans="2:52" x14ac:dyDescent="0.2">
      <c r="B73" s="10"/>
      <c r="C73" s="11"/>
      <c r="D73" s="11"/>
      <c r="E73" s="4"/>
      <c r="F73" s="7"/>
      <c r="G73" s="7"/>
      <c r="H73" s="4"/>
      <c r="I73" s="12"/>
      <c r="J73" s="4"/>
      <c r="K73" s="7"/>
      <c r="L73" s="7"/>
      <c r="M73" s="7"/>
      <c r="AZ73" s="12"/>
    </row>
    <row r="74" spans="2:52" x14ac:dyDescent="0.2">
      <c r="B74" s="10"/>
      <c r="C74" s="11"/>
      <c r="D74" s="11"/>
      <c r="E74" s="4"/>
      <c r="F74" s="7"/>
      <c r="G74" s="7"/>
      <c r="H74" s="4"/>
      <c r="I74" s="12"/>
      <c r="J74" s="4"/>
      <c r="K74" s="7"/>
      <c r="L74" s="7"/>
      <c r="M74" s="7"/>
      <c r="AZ74" s="12"/>
    </row>
    <row r="75" spans="2:52" x14ac:dyDescent="0.2">
      <c r="B75" s="10"/>
      <c r="C75" s="11"/>
      <c r="D75" s="11"/>
      <c r="E75" s="4"/>
      <c r="F75" s="7"/>
      <c r="G75" s="7"/>
      <c r="H75" s="4"/>
      <c r="I75" s="12"/>
      <c r="J75" s="4"/>
      <c r="K75" s="7"/>
      <c r="L75" s="7"/>
      <c r="M75" s="7"/>
      <c r="AZ75" s="12"/>
    </row>
    <row r="76" spans="2:52" x14ac:dyDescent="0.2">
      <c r="B76" s="10"/>
      <c r="C76" s="11"/>
      <c r="D76" s="11"/>
      <c r="E76" s="4"/>
      <c r="F76" s="7"/>
      <c r="G76" s="7"/>
      <c r="H76" s="4"/>
      <c r="I76" s="12"/>
      <c r="J76" s="4"/>
      <c r="K76" s="7"/>
      <c r="L76" s="7"/>
      <c r="M76" s="7"/>
      <c r="AZ76" s="12"/>
    </row>
  </sheetData>
  <sheetProtection algorithmName="SHA-512" hashValue="b4mHlUxuCvfis56eoLCjXyUC2MuWSkXVK3HpUsTMjnUj2N3L1mDwZQ4+gf9iDsTe9TBUrT4CGJ7gMXvE/Mqj+g==" saltValue="NFNiGtCFs6Ty8x3aLXS/W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VTU Tarjetas de Crédito</vt:lpstr>
      <vt:lpstr>Flujo TC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Alarcon Contreras Jenny Katherine</dc:creator>
  <cp:lastModifiedBy>Duran Oyola Daniel</cp:lastModifiedBy>
  <dcterms:created xsi:type="dcterms:W3CDTF">2017-04-27T00:10:25Z</dcterms:created>
  <dcterms:modified xsi:type="dcterms:W3CDTF">2017-11-20T22:03:53Z</dcterms:modified>
</cp:coreProperties>
</file>