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tiabank-my.sharepoint.com/personal/sara_vasquez_scotiabank_com_pe/Documents/"/>
    </mc:Choice>
  </mc:AlternateContent>
  <xr:revisionPtr revIDLastSave="0" documentId="8_{555544A5-B398-4950-8985-82255BE3EDB5}" xr6:coauthVersionLast="47" xr6:coauthVersionMax="47" xr10:uidLastSave="{00000000-0000-0000-0000-000000000000}"/>
  <workbookProtection workbookAlgorithmName="SHA-512" workbookHashValue="cROTHtczTch7aPZVWIG6UyckZ8r4iXPQWCRNwvRPNdD7CX3QDm0CZ2THzy+nbf5YrJzA5lE+QLGgTjPPHRBqJQ==" workbookSaltValue="LyG1w93IFGPjXwfQJuzkFw==" workbookSpinCount="100000" lockStructure="1"/>
  <bookViews>
    <workbookView xWindow="-120" yWindow="-120" windowWidth="29040" windowHeight="15720" tabRatio="596" xr2:uid="{00000000-000D-0000-FFFF-FFFF00000000}"/>
  </bookViews>
  <sheets>
    <sheet name="Simulador XL sin S.Desgravamen" sheetId="14" r:id="rId1"/>
    <sheet name="Simulador XL con S.Desgravamen" sheetId="12" r:id="rId2"/>
    <sheet name="Intereses de la 2a cuota" sheetId="13" state="hidden" r:id="rId3"/>
  </sheets>
  <externalReferences>
    <externalReference r:id="rId4"/>
  </externalReferences>
  <definedNames>
    <definedName name="A" localSheetId="1" hidden="1">{#N/A,#N/A,TRUE,"EvalFin";#N/A,#N/A,TRUE,"EvalFin";#N/A,#N/A,TRUE,"EvalFin";#N/A,#N/A,TRUE,"EvalFin"}</definedName>
    <definedName name="A" localSheetId="0" hidden="1">{#N/A,#N/A,TRUE,"EvalFin";#N/A,#N/A,TRUE,"EvalFin";#N/A,#N/A,TRUE,"EvalFin";#N/A,#N/A,TRUE,"EvalFin"}</definedName>
    <definedName name="A" hidden="1">{#N/A,#N/A,TRUE,"EvalFin";#N/A,#N/A,TRUE,"EvalFin";#N/A,#N/A,TRUE,"EvalFin";#N/A,#N/A,TRUE,"EvalFin"}</definedName>
    <definedName name="_xlnm.Print_Area" localSheetId="1">'Simulador XL con S.Desgravamen'!$A$1:$W$98</definedName>
    <definedName name="_xlnm.Print_Area" localSheetId="0">'Simulador XL sin S.Desgravamen'!$A$1:$W$97</definedName>
    <definedName name="asaa" localSheetId="1" hidden="1">{#N/A,#N/A,TRUE,"EvalFin";#N/A,#N/A,TRUE,"EvalFin";#N/A,#N/A,TRUE,"EvalFin";#N/A,#N/A,TRUE,"EvalFin"}</definedName>
    <definedName name="asaa" localSheetId="0" hidden="1">{#N/A,#N/A,TRUE,"EvalFin";#N/A,#N/A,TRUE,"EvalFin";#N/A,#N/A,TRUE,"EvalFin";#N/A,#N/A,TRUE,"EvalFin"}</definedName>
    <definedName name="asaa" hidden="1">{#N/A,#N/A,TRUE,"EvalFin";#N/A,#N/A,TRUE,"EvalFin";#N/A,#N/A,TRUE,"EvalFin";#N/A,#N/A,TRUE,"EvalFin"}</definedName>
    <definedName name="dsf" localSheetId="1" hidden="1">{#N/A,#N/A,TRUE,"EvalFin";#N/A,#N/A,TRUE,"EvalFin";#N/A,#N/A,TRUE,"EvalFin";#N/A,#N/A,TRUE,"EvalFin"}</definedName>
    <definedName name="dsf" localSheetId="0" hidden="1">{#N/A,#N/A,TRUE,"EvalFin";#N/A,#N/A,TRUE,"EvalFin";#N/A,#N/A,TRUE,"EvalFin";#N/A,#N/A,TRUE,"EvalFin"}</definedName>
    <definedName name="dsf" hidden="1">{#N/A,#N/A,TRUE,"EvalFin";#N/A,#N/A,TRUE,"EvalFin";#N/A,#N/A,TRUE,"EvalFin";#N/A,#N/A,TRUE,"EvalFin"}</definedName>
    <definedName name="ee" localSheetId="1" hidden="1">{#N/A,#N/A,TRUE,"EvalFin";#N/A,#N/A,TRUE,"EvalFin";#N/A,#N/A,TRUE,"EvalFin";#N/A,#N/A,TRUE,"EvalFin"}</definedName>
    <definedName name="ee" localSheetId="0" hidden="1">{#N/A,#N/A,TRUE,"EvalFin";#N/A,#N/A,TRUE,"EvalFin";#N/A,#N/A,TRUE,"EvalFin";#N/A,#N/A,TRUE,"EvalFin"}</definedName>
    <definedName name="ee" hidden="1">{#N/A,#N/A,TRUE,"EvalFin";#N/A,#N/A,TRUE,"EvalFin";#N/A,#N/A,TRUE,"EvalFin";#N/A,#N/A,TRUE,"EvalFin"}</definedName>
    <definedName name="finall" localSheetId="1" hidden="1">{#N/A,#N/A,TRUE,"EvalFin";#N/A,#N/A,TRUE,"EvalFin";#N/A,#N/A,TRUE,"EvalFin";#N/A,#N/A,TRUE,"EvalFin"}</definedName>
    <definedName name="finall" localSheetId="0" hidden="1">{#N/A,#N/A,TRUE,"EvalFin";#N/A,#N/A,TRUE,"EvalFin";#N/A,#N/A,TRUE,"EvalFin";#N/A,#N/A,TRUE,"EvalFin"}</definedName>
    <definedName name="finall" hidden="1">{#N/A,#N/A,TRUE,"EvalFin";#N/A,#N/A,TRUE,"EvalFin";#N/A,#N/A,TRUE,"EvalFin";#N/A,#N/A,TRUE,"EvalFin"}</definedName>
    <definedName name="g" localSheetId="1" hidden="1">{#N/A,#N/A,TRUE,"EvalFin";#N/A,#N/A,TRUE,"EvalFin";#N/A,#N/A,TRUE,"EvalFin";#N/A,#N/A,TRUE,"EvalFin"}</definedName>
    <definedName name="g" localSheetId="0" hidden="1">{#N/A,#N/A,TRUE,"EvalFin";#N/A,#N/A,TRUE,"EvalFin";#N/A,#N/A,TRUE,"EvalFin";#N/A,#N/A,TRUE,"EvalFin"}</definedName>
    <definedName name="g" hidden="1">{#N/A,#N/A,TRUE,"EvalFin";#N/A,#N/A,TRUE,"EvalFin";#N/A,#N/A,TRUE,"EvalFin";#N/A,#N/A,TRUE,"EvalFin"}</definedName>
    <definedName name="Proyección" localSheetId="1" hidden="1">{#N/A,#N/A,TRUE,"EvalFin";#N/A,#N/A,TRUE,"EvalFin";#N/A,#N/A,TRUE,"EvalFin";#N/A,#N/A,TRUE,"EvalFin"}</definedName>
    <definedName name="Proyección" localSheetId="0" hidden="1">{#N/A,#N/A,TRUE,"EvalFin";#N/A,#N/A,TRUE,"EvalFin";#N/A,#N/A,TRUE,"EvalFin";#N/A,#N/A,TRUE,"EvalFin"}</definedName>
    <definedName name="Proyección" hidden="1">{#N/A,#N/A,TRUE,"EvalFin";#N/A,#N/A,TRUE,"EvalFin";#N/A,#N/A,TRUE,"EvalFin";#N/A,#N/A,TRUE,"EvalFin"}</definedName>
    <definedName name="solver_adj" localSheetId="1" hidden="1">'Simulador XL con S.Desgravamen'!$E$8</definedName>
    <definedName name="solver_adj" localSheetId="0" hidden="1">'Simulador XL sin S.Desgravamen'!$E$8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st" localSheetId="1" hidden="1">1</definedName>
    <definedName name="solver_est" localSheetId="0" hidden="1">1</definedName>
    <definedName name="solver_itr" localSheetId="1" hidden="1">100</definedName>
    <definedName name="solver_itr" localSheetId="0" hidden="1">100</definedName>
    <definedName name="solver_lin" localSheetId="1" hidden="1">2</definedName>
    <definedName name="solver_lin" localSheetId="0" hidden="1">2</definedName>
    <definedName name="solver_neg" localSheetId="1" hidden="1">2</definedName>
    <definedName name="solver_neg" localSheetId="0" hidden="1">2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'Simulador XL con S.Desgravamen'!#REF!</definedName>
    <definedName name="solver_opt" localSheetId="0" hidden="1">'Simulador XL sin S.Desgravamen'!#REF!</definedName>
    <definedName name="solver_pre" localSheetId="1" hidden="1">0.000001</definedName>
    <definedName name="solver_pre" localSheetId="0" hidden="1">0.000001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3</definedName>
    <definedName name="solver_typ" localSheetId="0" hidden="1">3</definedName>
    <definedName name="solver_val" localSheetId="1" hidden="1">0.0452</definedName>
    <definedName name="solver_val" localSheetId="0" hidden="1">0.0452</definedName>
    <definedName name="Tc">'[1]Anexo 2_'!$C$10</definedName>
    <definedName name="tumare" localSheetId="1" hidden="1">{#N/A,#N/A,TRUE,"EvalFin";#N/A,#N/A,TRUE,"EvalFin";#N/A,#N/A,TRUE,"EvalFin";#N/A,#N/A,TRUE,"EvalFin"}</definedName>
    <definedName name="tumare" localSheetId="0" hidden="1">{#N/A,#N/A,TRUE,"EvalFin";#N/A,#N/A,TRUE,"EvalFin";#N/A,#N/A,TRUE,"EvalFin";#N/A,#N/A,TRUE,"EvalFin"}</definedName>
    <definedName name="tumare" hidden="1">{#N/A,#N/A,TRUE,"EvalFin";#N/A,#N/A,TRUE,"EvalFin";#N/A,#N/A,TRUE,"EvalFin";#N/A,#N/A,TRUE,"EvalFin"}</definedName>
    <definedName name="wrn.casca." localSheetId="1" hidden="1">{#N/A,#N/A,TRUE,"EvalFin";#N/A,#N/A,TRUE,"EvalFin";#N/A,#N/A,TRUE,"EvalFin";#N/A,#N/A,TRUE,"EvalFin"}</definedName>
    <definedName name="wrn.casca." localSheetId="0" hidden="1">{#N/A,#N/A,TRUE,"EvalFin";#N/A,#N/A,TRUE,"EvalFin";#N/A,#N/A,TRUE,"EvalFin";#N/A,#N/A,TRUE,"EvalFin"}</definedName>
    <definedName name="wrn.casca." hidden="1">{#N/A,#N/A,TRUE,"EvalFin";#N/A,#N/A,TRUE,"EvalFin";#N/A,#N/A,TRUE,"EvalFin";#N/A,#N/A,TRUE,"EvalFin"}</definedName>
    <definedName name="wrn.Factores." localSheetId="1" hidden="1">{#N/A,"30",FALSE,"Vencimientos";#N/A,"31",FALSE,"Vencimientos";#N/A,"32",FALSE,"Vencimientos";#N/A,"33",FALSE,"Vencimientos";#N/A,"34",FALSE,"Vencimientos";#N/A,"35",FALSE,"Vencimientos";#N/A,"36",FALSE,"Vencimientos";#N/A,"37",FALSE,"Vencimientos";#N/A,"38",FALSE,"Vencimientos";#N/A,"39",FALSE,"Vencimientos";#N/A,"40",FALSE,"Vencimientos";#N/A,"41",FALSE,"Vencimientos";#N/A,"42",FALSE,"Vencimientos";#N/A,"43",FALSE,"Vencimientos";#N/A,"44",FALSE,"Vencimientos";#N/A,"45",FALSE,"Vencimientos";#N/A,"46",FALSE,"Vencimientos";#N/A,"47",FALSE,"Vencimientos";#N/A,"48",FALSE,"Vencimientos";#N/A,"49",FALSE,"Vencimientos";#N/A,"50",FALSE,"Vencimientos";#N/A,"51",FALSE,"Vencimientos";#N/A,"52",FALSE,"Vencimientos";#N/A,"53",FALSE,"Vencimientos"}</definedName>
    <definedName name="wrn.Factores." localSheetId="0" hidden="1">{#N/A,"30",FALSE,"Vencimientos";#N/A,"31",FALSE,"Vencimientos";#N/A,"32",FALSE,"Vencimientos";#N/A,"33",FALSE,"Vencimientos";#N/A,"34",FALSE,"Vencimientos";#N/A,"35",FALSE,"Vencimientos";#N/A,"36",FALSE,"Vencimientos";#N/A,"37",FALSE,"Vencimientos";#N/A,"38",FALSE,"Vencimientos";#N/A,"39",FALSE,"Vencimientos";#N/A,"40",FALSE,"Vencimientos";#N/A,"41",FALSE,"Vencimientos";#N/A,"42",FALSE,"Vencimientos";#N/A,"43",FALSE,"Vencimientos";#N/A,"44",FALSE,"Vencimientos";#N/A,"45",FALSE,"Vencimientos";#N/A,"46",FALSE,"Vencimientos";#N/A,"47",FALSE,"Vencimientos";#N/A,"48",FALSE,"Vencimientos";#N/A,"49",FALSE,"Vencimientos";#N/A,"50",FALSE,"Vencimientos";#N/A,"51",FALSE,"Vencimientos";#N/A,"52",FALSE,"Vencimientos";#N/A,"53",FALSE,"Vencimientos"}</definedName>
    <definedName name="wrn.Factores." hidden="1">{#N/A,"30",FALSE,"Vencimientos";#N/A,"31",FALSE,"Vencimientos";#N/A,"32",FALSE,"Vencimientos";#N/A,"33",FALSE,"Vencimientos";#N/A,"34",FALSE,"Vencimientos";#N/A,"35",FALSE,"Vencimientos";#N/A,"36",FALSE,"Vencimientos";#N/A,"37",FALSE,"Vencimientos";#N/A,"38",FALSE,"Vencimientos";#N/A,"39",FALSE,"Vencimientos";#N/A,"40",FALSE,"Vencimientos";#N/A,"41",FALSE,"Vencimientos";#N/A,"42",FALSE,"Vencimientos";#N/A,"43",FALSE,"Vencimientos";#N/A,"44",FALSE,"Vencimientos";#N/A,"45",FALSE,"Vencimientos";#N/A,"46",FALSE,"Vencimientos";#N/A,"47",FALSE,"Vencimientos";#N/A,"48",FALSE,"Vencimientos";#N/A,"49",FALSE,"Vencimientos";#N/A,"50",FALSE,"Vencimientos";#N/A,"51",FALSE,"Vencimientos";#N/A,"52",FALSE,"Vencimientos";#N/A,"53",FALSE,"Vencimi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4" l="1"/>
  <c r="Q20" i="14" s="1"/>
  <c r="S6" i="12"/>
  <c r="BO96" i="14"/>
  <c r="E96" i="14" s="1"/>
  <c r="BA96" i="14"/>
  <c r="BB96" i="14" s="1"/>
  <c r="Q96" i="14"/>
  <c r="U96" i="14" s="1"/>
  <c r="P96" i="14"/>
  <c r="O96" i="14"/>
  <c r="N96" i="14"/>
  <c r="M96" i="14"/>
  <c r="L96" i="14"/>
  <c r="K96" i="14"/>
  <c r="J96" i="14"/>
  <c r="I96" i="14"/>
  <c r="H96" i="14"/>
  <c r="G96" i="14"/>
  <c r="F96" i="14"/>
  <c r="D96" i="14"/>
  <c r="BO95" i="14"/>
  <c r="E95" i="14" s="1"/>
  <c r="BA95" i="14"/>
  <c r="BB95" i="14" s="1"/>
  <c r="Q95" i="14"/>
  <c r="U95" i="14" s="1"/>
  <c r="P95" i="14"/>
  <c r="O95" i="14"/>
  <c r="N95" i="14"/>
  <c r="M95" i="14"/>
  <c r="L95" i="14"/>
  <c r="K95" i="14"/>
  <c r="J95" i="14"/>
  <c r="I95" i="14"/>
  <c r="H95" i="14"/>
  <c r="G95" i="14"/>
  <c r="F95" i="14"/>
  <c r="D95" i="14"/>
  <c r="BO94" i="14"/>
  <c r="E94" i="14" s="1"/>
  <c r="BA94" i="14"/>
  <c r="BB94" i="14" s="1"/>
  <c r="Q94" i="14"/>
  <c r="U94" i="14" s="1"/>
  <c r="P94" i="14"/>
  <c r="O94" i="14"/>
  <c r="N94" i="14"/>
  <c r="M94" i="14"/>
  <c r="L94" i="14"/>
  <c r="K94" i="14"/>
  <c r="J94" i="14"/>
  <c r="I94" i="14"/>
  <c r="H94" i="14"/>
  <c r="G94" i="14"/>
  <c r="F94" i="14"/>
  <c r="D94" i="14"/>
  <c r="BO93" i="14"/>
  <c r="E93" i="14" s="1"/>
  <c r="BA93" i="14"/>
  <c r="BB93" i="14" s="1"/>
  <c r="Q93" i="14"/>
  <c r="U93" i="14" s="1"/>
  <c r="P93" i="14"/>
  <c r="O93" i="14"/>
  <c r="N93" i="14"/>
  <c r="M93" i="14"/>
  <c r="L93" i="14"/>
  <c r="K93" i="14"/>
  <c r="J93" i="14"/>
  <c r="I93" i="14"/>
  <c r="H93" i="14"/>
  <c r="G93" i="14"/>
  <c r="F93" i="14"/>
  <c r="D93" i="14"/>
  <c r="BO92" i="14"/>
  <c r="E92" i="14" s="1"/>
  <c r="BA92" i="14"/>
  <c r="BB92" i="14" s="1"/>
  <c r="Q92" i="14"/>
  <c r="U92" i="14" s="1"/>
  <c r="P92" i="14"/>
  <c r="O92" i="14"/>
  <c r="N92" i="14"/>
  <c r="M92" i="14"/>
  <c r="L92" i="14"/>
  <c r="K92" i="14"/>
  <c r="J92" i="14"/>
  <c r="I92" i="14"/>
  <c r="H92" i="14"/>
  <c r="G92" i="14"/>
  <c r="F92" i="14"/>
  <c r="D92" i="14"/>
  <c r="BO91" i="14"/>
  <c r="E91" i="14" s="1"/>
  <c r="BA91" i="14"/>
  <c r="BB91" i="14" s="1"/>
  <c r="Q91" i="14"/>
  <c r="U91" i="14" s="1"/>
  <c r="P91" i="14"/>
  <c r="O91" i="14"/>
  <c r="N91" i="14"/>
  <c r="M91" i="14"/>
  <c r="L91" i="14"/>
  <c r="K91" i="14"/>
  <c r="J91" i="14"/>
  <c r="I91" i="14"/>
  <c r="H91" i="14"/>
  <c r="G91" i="14"/>
  <c r="F91" i="14"/>
  <c r="D91" i="14"/>
  <c r="BO90" i="14"/>
  <c r="E90" i="14" s="1"/>
  <c r="BA90" i="14"/>
  <c r="BB90" i="14" s="1"/>
  <c r="Q90" i="14"/>
  <c r="U90" i="14" s="1"/>
  <c r="P90" i="14"/>
  <c r="O90" i="14"/>
  <c r="N90" i="14"/>
  <c r="M90" i="14"/>
  <c r="L90" i="14"/>
  <c r="K90" i="14"/>
  <c r="J90" i="14"/>
  <c r="I90" i="14"/>
  <c r="H90" i="14"/>
  <c r="G90" i="14"/>
  <c r="F90" i="14"/>
  <c r="D90" i="14"/>
  <c r="BO89" i="14"/>
  <c r="E89" i="14" s="1"/>
  <c r="BA89" i="14"/>
  <c r="BB89" i="14" s="1"/>
  <c r="Q89" i="14"/>
  <c r="U89" i="14" s="1"/>
  <c r="P89" i="14"/>
  <c r="O89" i="14"/>
  <c r="N89" i="14"/>
  <c r="M89" i="14"/>
  <c r="L89" i="14"/>
  <c r="K89" i="14"/>
  <c r="J89" i="14"/>
  <c r="I89" i="14"/>
  <c r="H89" i="14"/>
  <c r="G89" i="14"/>
  <c r="F89" i="14"/>
  <c r="D89" i="14"/>
  <c r="BO88" i="14"/>
  <c r="E88" i="14" s="1"/>
  <c r="BA88" i="14"/>
  <c r="BB88" i="14" s="1"/>
  <c r="Q88" i="14"/>
  <c r="U88" i="14" s="1"/>
  <c r="P88" i="14"/>
  <c r="O88" i="14"/>
  <c r="N88" i="14"/>
  <c r="M88" i="14"/>
  <c r="L88" i="14"/>
  <c r="K88" i="14"/>
  <c r="J88" i="14"/>
  <c r="I88" i="14"/>
  <c r="H88" i="14"/>
  <c r="G88" i="14"/>
  <c r="F88" i="14"/>
  <c r="D88" i="14"/>
  <c r="BO87" i="14"/>
  <c r="E87" i="14" s="1"/>
  <c r="BA87" i="14"/>
  <c r="BB87" i="14" s="1"/>
  <c r="Q87" i="14"/>
  <c r="U87" i="14" s="1"/>
  <c r="P87" i="14"/>
  <c r="O87" i="14"/>
  <c r="N87" i="14"/>
  <c r="M87" i="14"/>
  <c r="L87" i="14"/>
  <c r="K87" i="14"/>
  <c r="J87" i="14"/>
  <c r="I87" i="14"/>
  <c r="H87" i="14"/>
  <c r="G87" i="14"/>
  <c r="F87" i="14"/>
  <c r="D87" i="14"/>
  <c r="BO86" i="14"/>
  <c r="E86" i="14" s="1"/>
  <c r="BA86" i="14"/>
  <c r="BB86" i="14" s="1"/>
  <c r="Q86" i="14"/>
  <c r="U86" i="14" s="1"/>
  <c r="P86" i="14"/>
  <c r="O86" i="14"/>
  <c r="N86" i="14"/>
  <c r="M86" i="14"/>
  <c r="L86" i="14"/>
  <c r="K86" i="14"/>
  <c r="J86" i="14"/>
  <c r="I86" i="14"/>
  <c r="H86" i="14"/>
  <c r="G86" i="14"/>
  <c r="F86" i="14"/>
  <c r="D86" i="14"/>
  <c r="BO85" i="14"/>
  <c r="E85" i="14" s="1"/>
  <c r="BA85" i="14"/>
  <c r="BB85" i="14" s="1"/>
  <c r="Q85" i="14"/>
  <c r="U85" i="14" s="1"/>
  <c r="P85" i="14"/>
  <c r="O85" i="14"/>
  <c r="N85" i="14"/>
  <c r="M85" i="14"/>
  <c r="L85" i="14"/>
  <c r="K85" i="14"/>
  <c r="J85" i="14"/>
  <c r="I85" i="14"/>
  <c r="H85" i="14"/>
  <c r="G85" i="14"/>
  <c r="F85" i="14"/>
  <c r="D85" i="14"/>
  <c r="BO84" i="14"/>
  <c r="E84" i="14" s="1"/>
  <c r="BA84" i="14"/>
  <c r="U84" i="14"/>
  <c r="Q84" i="14"/>
  <c r="S84" i="14" s="1"/>
  <c r="P84" i="14"/>
  <c r="O84" i="14"/>
  <c r="N84" i="14"/>
  <c r="M84" i="14"/>
  <c r="L84" i="14"/>
  <c r="K84" i="14"/>
  <c r="J84" i="14"/>
  <c r="I84" i="14"/>
  <c r="H84" i="14"/>
  <c r="G84" i="14"/>
  <c r="F84" i="14"/>
  <c r="D84" i="14"/>
  <c r="BO83" i="14"/>
  <c r="E83" i="14" s="1"/>
  <c r="BA83" i="14"/>
  <c r="U83" i="14"/>
  <c r="Q83" i="14"/>
  <c r="S83" i="14" s="1"/>
  <c r="P83" i="14"/>
  <c r="O83" i="14"/>
  <c r="N83" i="14"/>
  <c r="M83" i="14"/>
  <c r="L83" i="14"/>
  <c r="K83" i="14"/>
  <c r="J83" i="14"/>
  <c r="I83" i="14"/>
  <c r="H83" i="14"/>
  <c r="G83" i="14"/>
  <c r="F83" i="14"/>
  <c r="D83" i="14"/>
  <c r="BO82" i="14"/>
  <c r="E82" i="14" s="1"/>
  <c r="BA82" i="14"/>
  <c r="U82" i="14"/>
  <c r="Q82" i="14"/>
  <c r="S82" i="14" s="1"/>
  <c r="P82" i="14"/>
  <c r="O82" i="14"/>
  <c r="N82" i="14"/>
  <c r="M82" i="14"/>
  <c r="L82" i="14"/>
  <c r="K82" i="14"/>
  <c r="J82" i="14"/>
  <c r="I82" i="14"/>
  <c r="H82" i="14"/>
  <c r="G82" i="14"/>
  <c r="F82" i="14"/>
  <c r="D82" i="14"/>
  <c r="BO81" i="14"/>
  <c r="E81" i="14" s="1"/>
  <c r="BA81" i="14"/>
  <c r="U81" i="14"/>
  <c r="Q81" i="14"/>
  <c r="S81" i="14" s="1"/>
  <c r="P81" i="14"/>
  <c r="O81" i="14"/>
  <c r="N81" i="14"/>
  <c r="M81" i="14"/>
  <c r="L81" i="14"/>
  <c r="K81" i="14"/>
  <c r="J81" i="14"/>
  <c r="I81" i="14"/>
  <c r="H81" i="14"/>
  <c r="G81" i="14"/>
  <c r="F81" i="14"/>
  <c r="D81" i="14"/>
  <c r="BO80" i="14"/>
  <c r="E80" i="14" s="1"/>
  <c r="BA80" i="14"/>
  <c r="U80" i="14"/>
  <c r="Q80" i="14"/>
  <c r="S80" i="14" s="1"/>
  <c r="P80" i="14"/>
  <c r="O80" i="14"/>
  <c r="N80" i="14"/>
  <c r="M80" i="14"/>
  <c r="L80" i="14"/>
  <c r="K80" i="14"/>
  <c r="J80" i="14"/>
  <c r="I80" i="14"/>
  <c r="H80" i="14"/>
  <c r="G80" i="14"/>
  <c r="F80" i="14"/>
  <c r="D80" i="14"/>
  <c r="BO79" i="14"/>
  <c r="E79" i="14" s="1"/>
  <c r="BA79" i="14"/>
  <c r="U79" i="14"/>
  <c r="Q79" i="14"/>
  <c r="S79" i="14" s="1"/>
  <c r="P79" i="14"/>
  <c r="O79" i="14"/>
  <c r="N79" i="14"/>
  <c r="M79" i="14"/>
  <c r="L79" i="14"/>
  <c r="K79" i="14"/>
  <c r="J79" i="14"/>
  <c r="I79" i="14"/>
  <c r="H79" i="14"/>
  <c r="G79" i="14"/>
  <c r="F79" i="14"/>
  <c r="D79" i="14"/>
  <c r="BO78" i="14"/>
  <c r="E78" i="14" s="1"/>
  <c r="BA78" i="14"/>
  <c r="U78" i="14"/>
  <c r="Q78" i="14"/>
  <c r="S78" i="14" s="1"/>
  <c r="P78" i="14"/>
  <c r="O78" i="14"/>
  <c r="N78" i="14"/>
  <c r="M78" i="14"/>
  <c r="L78" i="14"/>
  <c r="K78" i="14"/>
  <c r="J78" i="14"/>
  <c r="I78" i="14"/>
  <c r="H78" i="14"/>
  <c r="G78" i="14"/>
  <c r="F78" i="14"/>
  <c r="D78" i="14"/>
  <c r="BO77" i="14"/>
  <c r="E77" i="14" s="1"/>
  <c r="BA77" i="14"/>
  <c r="U77" i="14"/>
  <c r="Q77" i="14"/>
  <c r="S77" i="14" s="1"/>
  <c r="P77" i="14"/>
  <c r="O77" i="14"/>
  <c r="N77" i="14"/>
  <c r="M77" i="14"/>
  <c r="L77" i="14"/>
  <c r="K77" i="14"/>
  <c r="J77" i="14"/>
  <c r="I77" i="14"/>
  <c r="H77" i="14"/>
  <c r="G77" i="14"/>
  <c r="F77" i="14"/>
  <c r="D77" i="14"/>
  <c r="BO76" i="14"/>
  <c r="E76" i="14" s="1"/>
  <c r="BA76" i="14"/>
  <c r="U76" i="14"/>
  <c r="Q76" i="14"/>
  <c r="S76" i="14" s="1"/>
  <c r="P76" i="14"/>
  <c r="O76" i="14"/>
  <c r="N76" i="14"/>
  <c r="M76" i="14"/>
  <c r="L76" i="14"/>
  <c r="K76" i="14"/>
  <c r="J76" i="14"/>
  <c r="I76" i="14"/>
  <c r="H76" i="14"/>
  <c r="G76" i="14"/>
  <c r="F76" i="14"/>
  <c r="D76" i="14"/>
  <c r="BO75" i="14"/>
  <c r="E75" i="14" s="1"/>
  <c r="BA75" i="14"/>
  <c r="U75" i="14"/>
  <c r="Q75" i="14"/>
  <c r="S75" i="14" s="1"/>
  <c r="P75" i="14"/>
  <c r="O75" i="14"/>
  <c r="N75" i="14"/>
  <c r="M75" i="14"/>
  <c r="L75" i="14"/>
  <c r="K75" i="14"/>
  <c r="J75" i="14"/>
  <c r="I75" i="14"/>
  <c r="H75" i="14"/>
  <c r="G75" i="14"/>
  <c r="F75" i="14"/>
  <c r="D75" i="14"/>
  <c r="BO74" i="14"/>
  <c r="E74" i="14" s="1"/>
  <c r="BA74" i="14"/>
  <c r="U74" i="14"/>
  <c r="Q74" i="14"/>
  <c r="S74" i="14" s="1"/>
  <c r="P74" i="14"/>
  <c r="O74" i="14"/>
  <c r="N74" i="14"/>
  <c r="M74" i="14"/>
  <c r="L74" i="14"/>
  <c r="K74" i="14"/>
  <c r="J74" i="14"/>
  <c r="I74" i="14"/>
  <c r="H74" i="14"/>
  <c r="G74" i="14"/>
  <c r="F74" i="14"/>
  <c r="D74" i="14"/>
  <c r="BO73" i="14"/>
  <c r="E73" i="14" s="1"/>
  <c r="BA73" i="14"/>
  <c r="U73" i="14"/>
  <c r="Q73" i="14"/>
  <c r="S73" i="14" s="1"/>
  <c r="P73" i="14"/>
  <c r="O73" i="14"/>
  <c r="N73" i="14"/>
  <c r="M73" i="14"/>
  <c r="L73" i="14"/>
  <c r="K73" i="14"/>
  <c r="J73" i="14"/>
  <c r="I73" i="14"/>
  <c r="H73" i="14"/>
  <c r="G73" i="14"/>
  <c r="F73" i="14"/>
  <c r="D73" i="14"/>
  <c r="BO72" i="14"/>
  <c r="E72" i="14" s="1"/>
  <c r="BA72" i="14"/>
  <c r="U72" i="14"/>
  <c r="Q72" i="14"/>
  <c r="S72" i="14" s="1"/>
  <c r="P72" i="14"/>
  <c r="O72" i="14"/>
  <c r="N72" i="14"/>
  <c r="M72" i="14"/>
  <c r="L72" i="14"/>
  <c r="K72" i="14"/>
  <c r="J72" i="14"/>
  <c r="I72" i="14"/>
  <c r="H72" i="14"/>
  <c r="G72" i="14"/>
  <c r="F72" i="14"/>
  <c r="D72" i="14"/>
  <c r="BO71" i="14"/>
  <c r="E71" i="14" s="1"/>
  <c r="BA71" i="14"/>
  <c r="U71" i="14"/>
  <c r="Q71" i="14"/>
  <c r="S71" i="14" s="1"/>
  <c r="P71" i="14"/>
  <c r="O71" i="14"/>
  <c r="N71" i="14"/>
  <c r="M71" i="14"/>
  <c r="L71" i="14"/>
  <c r="K71" i="14"/>
  <c r="J71" i="14"/>
  <c r="I71" i="14"/>
  <c r="H71" i="14"/>
  <c r="G71" i="14"/>
  <c r="F71" i="14"/>
  <c r="D71" i="14"/>
  <c r="BO70" i="14"/>
  <c r="E70" i="14" s="1"/>
  <c r="BA70" i="14"/>
  <c r="U70" i="14"/>
  <c r="Q70" i="14"/>
  <c r="S70" i="14" s="1"/>
  <c r="P70" i="14"/>
  <c r="O70" i="14"/>
  <c r="N70" i="14"/>
  <c r="M70" i="14"/>
  <c r="L70" i="14"/>
  <c r="K70" i="14"/>
  <c r="J70" i="14"/>
  <c r="I70" i="14"/>
  <c r="H70" i="14"/>
  <c r="G70" i="14"/>
  <c r="F70" i="14"/>
  <c r="D70" i="14"/>
  <c r="BO69" i="14"/>
  <c r="E69" i="14" s="1"/>
  <c r="BA69" i="14"/>
  <c r="U69" i="14"/>
  <c r="Q69" i="14"/>
  <c r="S69" i="14" s="1"/>
  <c r="P69" i="14"/>
  <c r="O69" i="14"/>
  <c r="N69" i="14"/>
  <c r="M69" i="14"/>
  <c r="L69" i="14"/>
  <c r="K69" i="14"/>
  <c r="J69" i="14"/>
  <c r="I69" i="14"/>
  <c r="H69" i="14"/>
  <c r="G69" i="14"/>
  <c r="F69" i="14"/>
  <c r="D69" i="14"/>
  <c r="BO68" i="14"/>
  <c r="E68" i="14" s="1"/>
  <c r="BA68" i="14"/>
  <c r="U68" i="14"/>
  <c r="Q68" i="14"/>
  <c r="S68" i="14" s="1"/>
  <c r="P68" i="14"/>
  <c r="O68" i="14"/>
  <c r="N68" i="14"/>
  <c r="M68" i="14"/>
  <c r="L68" i="14"/>
  <c r="K68" i="14"/>
  <c r="J68" i="14"/>
  <c r="I68" i="14"/>
  <c r="H68" i="14"/>
  <c r="G68" i="14"/>
  <c r="F68" i="14"/>
  <c r="D68" i="14"/>
  <c r="BO67" i="14"/>
  <c r="E67" i="14" s="1"/>
  <c r="BA67" i="14"/>
  <c r="U67" i="14"/>
  <c r="Q67" i="14"/>
  <c r="S67" i="14" s="1"/>
  <c r="P67" i="14"/>
  <c r="O67" i="14"/>
  <c r="N67" i="14"/>
  <c r="M67" i="14"/>
  <c r="L67" i="14"/>
  <c r="K67" i="14"/>
  <c r="J67" i="14"/>
  <c r="I67" i="14"/>
  <c r="H67" i="14"/>
  <c r="G67" i="14"/>
  <c r="F67" i="14"/>
  <c r="D67" i="14"/>
  <c r="BO66" i="14"/>
  <c r="E66" i="14" s="1"/>
  <c r="BA66" i="14"/>
  <c r="U66" i="14"/>
  <c r="Q66" i="14"/>
  <c r="S66" i="14" s="1"/>
  <c r="P66" i="14"/>
  <c r="O66" i="14"/>
  <c r="N66" i="14"/>
  <c r="M66" i="14"/>
  <c r="L66" i="14"/>
  <c r="K66" i="14"/>
  <c r="J66" i="14"/>
  <c r="I66" i="14"/>
  <c r="H66" i="14"/>
  <c r="G66" i="14"/>
  <c r="F66" i="14"/>
  <c r="D66" i="14"/>
  <c r="BO65" i="14"/>
  <c r="E65" i="14" s="1"/>
  <c r="BA65" i="14"/>
  <c r="U65" i="14"/>
  <c r="Q65" i="14"/>
  <c r="S65" i="14" s="1"/>
  <c r="P65" i="14"/>
  <c r="O65" i="14"/>
  <c r="N65" i="14"/>
  <c r="M65" i="14"/>
  <c r="L65" i="14"/>
  <c r="K65" i="14"/>
  <c r="J65" i="14"/>
  <c r="I65" i="14"/>
  <c r="H65" i="14"/>
  <c r="G65" i="14"/>
  <c r="F65" i="14"/>
  <c r="D65" i="14"/>
  <c r="BO64" i="14"/>
  <c r="E64" i="14" s="1"/>
  <c r="BA64" i="14"/>
  <c r="U64" i="14"/>
  <c r="Q64" i="14"/>
  <c r="S64" i="14" s="1"/>
  <c r="P64" i="14"/>
  <c r="O64" i="14"/>
  <c r="N64" i="14"/>
  <c r="M64" i="14"/>
  <c r="L64" i="14"/>
  <c r="K64" i="14"/>
  <c r="J64" i="14"/>
  <c r="I64" i="14"/>
  <c r="H64" i="14"/>
  <c r="G64" i="14"/>
  <c r="F64" i="14"/>
  <c r="D64" i="14"/>
  <c r="BO63" i="14"/>
  <c r="E63" i="14" s="1"/>
  <c r="BA63" i="14"/>
  <c r="U63" i="14"/>
  <c r="Q63" i="14"/>
  <c r="S63" i="14" s="1"/>
  <c r="P63" i="14"/>
  <c r="O63" i="14"/>
  <c r="N63" i="14"/>
  <c r="M63" i="14"/>
  <c r="L63" i="14"/>
  <c r="K63" i="14"/>
  <c r="J63" i="14"/>
  <c r="I63" i="14"/>
  <c r="H63" i="14"/>
  <c r="G63" i="14"/>
  <c r="F63" i="14"/>
  <c r="D63" i="14"/>
  <c r="BO62" i="14"/>
  <c r="E62" i="14" s="1"/>
  <c r="BA62" i="14"/>
  <c r="U62" i="14"/>
  <c r="Q62" i="14"/>
  <c r="S62" i="14" s="1"/>
  <c r="P62" i="14"/>
  <c r="O62" i="14"/>
  <c r="N62" i="14"/>
  <c r="M62" i="14"/>
  <c r="L62" i="14"/>
  <c r="K62" i="14"/>
  <c r="J62" i="14"/>
  <c r="I62" i="14"/>
  <c r="H62" i="14"/>
  <c r="G62" i="14"/>
  <c r="F62" i="14"/>
  <c r="D62" i="14"/>
  <c r="BO61" i="14"/>
  <c r="E61" i="14" s="1"/>
  <c r="BA61" i="14"/>
  <c r="U61" i="14"/>
  <c r="Q61" i="14"/>
  <c r="S61" i="14" s="1"/>
  <c r="P61" i="14"/>
  <c r="O61" i="14"/>
  <c r="N61" i="14"/>
  <c r="M61" i="14"/>
  <c r="L61" i="14"/>
  <c r="K61" i="14"/>
  <c r="J61" i="14"/>
  <c r="I61" i="14"/>
  <c r="H61" i="14"/>
  <c r="G61" i="14"/>
  <c r="F61" i="14"/>
  <c r="D61" i="14"/>
  <c r="I25" i="14"/>
  <c r="U23" i="14"/>
  <c r="Q21" i="12"/>
  <c r="Q19" i="12" s="1"/>
  <c r="U24" i="12"/>
  <c r="BI25" i="14" l="1"/>
  <c r="Q18" i="14"/>
  <c r="BA25" i="14" s="1"/>
  <c r="BI26" i="12"/>
  <c r="BA26" i="12"/>
  <c r="C33" i="13"/>
  <c r="D33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D7" i="13"/>
  <c r="D8" i="13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I26" i="12"/>
  <c r="S26" i="12" s="1"/>
  <c r="B7" i="13"/>
  <c r="C7" i="13" s="1"/>
  <c r="C27" i="13" s="1"/>
  <c r="BE25" i="14" l="1"/>
  <c r="BD25" i="14"/>
  <c r="BC25" i="14"/>
  <c r="BK25" i="14"/>
  <c r="BM25" i="14"/>
  <c r="BL25" i="14"/>
  <c r="BL26" i="12"/>
  <c r="BM26" i="12"/>
  <c r="BK26" i="12"/>
  <c r="BD26" i="12"/>
  <c r="BE26" i="12"/>
  <c r="BE27" i="12" s="1"/>
  <c r="BE28" i="12" s="1"/>
  <c r="BE29" i="12" s="1"/>
  <c r="BE30" i="12" s="1"/>
  <c r="BE31" i="12" s="1"/>
  <c r="BE32" i="12" s="1"/>
  <c r="BE33" i="12" s="1"/>
  <c r="BE34" i="12" s="1"/>
  <c r="BE35" i="12" s="1"/>
  <c r="BE36" i="12" s="1"/>
  <c r="BE37" i="12" s="1"/>
  <c r="BE38" i="12" s="1"/>
  <c r="BE39" i="12" s="1"/>
  <c r="BE40" i="12" s="1"/>
  <c r="BE41" i="12" s="1"/>
  <c r="BE42" i="12" s="1"/>
  <c r="BE43" i="12" s="1"/>
  <c r="BE44" i="12" s="1"/>
  <c r="BE45" i="12" s="1"/>
  <c r="BE46" i="12" s="1"/>
  <c r="BE47" i="12" s="1"/>
  <c r="BE48" i="12" s="1"/>
  <c r="BE49" i="12" s="1"/>
  <c r="BE50" i="12" s="1"/>
  <c r="BE51" i="12" s="1"/>
  <c r="BE52" i="12" s="1"/>
  <c r="BE53" i="12" s="1"/>
  <c r="BE54" i="12" s="1"/>
  <c r="BE55" i="12" s="1"/>
  <c r="BE56" i="12" s="1"/>
  <c r="BE57" i="12" s="1"/>
  <c r="BE58" i="12" s="1"/>
  <c r="BE59" i="12" s="1"/>
  <c r="BE60" i="12" s="1"/>
  <c r="BE61" i="12" s="1"/>
  <c r="BE62" i="12" s="1"/>
  <c r="BE63" i="12" s="1"/>
  <c r="BE64" i="12" s="1"/>
  <c r="BE65" i="12" s="1"/>
  <c r="BE66" i="12" s="1"/>
  <c r="BE67" i="12" s="1"/>
  <c r="BE68" i="12" s="1"/>
  <c r="BE69" i="12" s="1"/>
  <c r="BE70" i="12" s="1"/>
  <c r="BE71" i="12" s="1"/>
  <c r="BE72" i="12" s="1"/>
  <c r="BE73" i="12" s="1"/>
  <c r="BE74" i="12" s="1"/>
  <c r="BE75" i="12" s="1"/>
  <c r="BE76" i="12" s="1"/>
  <c r="BE77" i="12" s="1"/>
  <c r="BE78" i="12" s="1"/>
  <c r="BE79" i="12" s="1"/>
  <c r="BE80" i="12" s="1"/>
  <c r="BE81" i="12" s="1"/>
  <c r="BE82" i="12" s="1"/>
  <c r="BE83" i="12" s="1"/>
  <c r="BE84" i="12" s="1"/>
  <c r="BE85" i="12" s="1"/>
  <c r="BC26" i="12"/>
  <c r="C34" i="13"/>
  <c r="D34" i="13" s="1"/>
  <c r="B8" i="13"/>
  <c r="BN25" i="14" l="1"/>
  <c r="BK26" i="14"/>
  <c r="BL26" i="14"/>
  <c r="BO25" i="14"/>
  <c r="E25" i="14" s="1"/>
  <c r="BM26" i="14"/>
  <c r="BC26" i="14"/>
  <c r="BD26" i="14"/>
  <c r="BE26" i="14"/>
  <c r="BG25" i="14"/>
  <c r="D25" i="14" s="1"/>
  <c r="BF25" i="14"/>
  <c r="BC27" i="12"/>
  <c r="BD27" i="12"/>
  <c r="BM27" i="12"/>
  <c r="BF26" i="12"/>
  <c r="BG26" i="12"/>
  <c r="D26" i="12" s="1"/>
  <c r="C35" i="13"/>
  <c r="D35" i="13" s="1"/>
  <c r="C8" i="13"/>
  <c r="B9" i="13"/>
  <c r="F25" i="14" l="1"/>
  <c r="G25" i="14" s="1"/>
  <c r="BF26" i="14"/>
  <c r="BG26" i="14"/>
  <c r="BA26" i="14"/>
  <c r="D26" i="14"/>
  <c r="BE27" i="14"/>
  <c r="BD27" i="14"/>
  <c r="BC27" i="14"/>
  <c r="BM27" i="14"/>
  <c r="BO26" i="14"/>
  <c r="E26" i="14" s="1"/>
  <c r="BK27" i="14"/>
  <c r="BL27" i="14"/>
  <c r="BN26" i="14"/>
  <c r="BC28" i="12"/>
  <c r="BD28" i="12"/>
  <c r="BN26" i="12"/>
  <c r="BK27" i="12"/>
  <c r="BL27" i="12"/>
  <c r="BO26" i="12"/>
  <c r="E26" i="12" s="1"/>
  <c r="F26" i="12" s="1"/>
  <c r="K26" i="12" s="1"/>
  <c r="C36" i="13"/>
  <c r="D36" i="13" s="1"/>
  <c r="B10" i="13"/>
  <c r="C9" i="13"/>
  <c r="BM28" i="12"/>
  <c r="K25" i="14" l="1"/>
  <c r="BN27" i="12"/>
  <c r="F26" i="14"/>
  <c r="G26" i="14" s="1"/>
  <c r="BN27" i="14"/>
  <c r="BA27" i="14"/>
  <c r="D27" i="14"/>
  <c r="BF27" i="14"/>
  <c r="BG27" i="14"/>
  <c r="BE28" i="14"/>
  <c r="BM28" i="14"/>
  <c r="BO27" i="14"/>
  <c r="E27" i="14" s="1"/>
  <c r="BL28" i="14"/>
  <c r="BK28" i="14"/>
  <c r="BD28" i="14"/>
  <c r="BC28" i="14"/>
  <c r="H25" i="14"/>
  <c r="BC29" i="12"/>
  <c r="BD29" i="12"/>
  <c r="BL28" i="12"/>
  <c r="BL29" i="12" s="1"/>
  <c r="BL30" i="12" s="1"/>
  <c r="BL31" i="12" s="1"/>
  <c r="BL32" i="12" s="1"/>
  <c r="BL33" i="12" s="1"/>
  <c r="BL34" i="12" s="1"/>
  <c r="BL35" i="12" s="1"/>
  <c r="BL36" i="12" s="1"/>
  <c r="BL37" i="12" s="1"/>
  <c r="BL38" i="12" s="1"/>
  <c r="BL39" i="12" s="1"/>
  <c r="BL40" i="12" s="1"/>
  <c r="BL41" i="12" s="1"/>
  <c r="BL42" i="12" s="1"/>
  <c r="BL43" i="12" s="1"/>
  <c r="BL44" i="12" s="1"/>
  <c r="BL45" i="12" s="1"/>
  <c r="BL46" i="12" s="1"/>
  <c r="BL47" i="12" s="1"/>
  <c r="BL48" i="12" s="1"/>
  <c r="BL49" i="12" s="1"/>
  <c r="BL50" i="12" s="1"/>
  <c r="BL51" i="12" s="1"/>
  <c r="BL52" i="12" s="1"/>
  <c r="BL53" i="12" s="1"/>
  <c r="BL54" i="12" s="1"/>
  <c r="BL55" i="12" s="1"/>
  <c r="BL56" i="12" s="1"/>
  <c r="BL57" i="12" s="1"/>
  <c r="BL58" i="12" s="1"/>
  <c r="BL59" i="12" s="1"/>
  <c r="BL60" i="12" s="1"/>
  <c r="BL61" i="12" s="1"/>
  <c r="BL62" i="12" s="1"/>
  <c r="BL63" i="12" s="1"/>
  <c r="BL64" i="12" s="1"/>
  <c r="BL65" i="12" s="1"/>
  <c r="BL66" i="12" s="1"/>
  <c r="BL67" i="12" s="1"/>
  <c r="BL68" i="12" s="1"/>
  <c r="BL69" i="12" s="1"/>
  <c r="BL70" i="12" s="1"/>
  <c r="BL71" i="12" s="1"/>
  <c r="BL72" i="12" s="1"/>
  <c r="BL73" i="12" s="1"/>
  <c r="BL74" i="12" s="1"/>
  <c r="BL75" i="12" s="1"/>
  <c r="BL76" i="12" s="1"/>
  <c r="BL77" i="12" s="1"/>
  <c r="BL78" i="12" s="1"/>
  <c r="BL79" i="12" s="1"/>
  <c r="BL80" i="12" s="1"/>
  <c r="BL81" i="12" s="1"/>
  <c r="BL82" i="12" s="1"/>
  <c r="BL83" i="12" s="1"/>
  <c r="BL84" i="12" s="1"/>
  <c r="BL85" i="12" s="1"/>
  <c r="BL86" i="12" s="1"/>
  <c r="BL87" i="12" s="1"/>
  <c r="BL88" i="12" s="1"/>
  <c r="BL89" i="12" s="1"/>
  <c r="BL90" i="12" s="1"/>
  <c r="BL91" i="12" s="1"/>
  <c r="BL92" i="12" s="1"/>
  <c r="BL93" i="12" s="1"/>
  <c r="BL94" i="12" s="1"/>
  <c r="BL95" i="12" s="1"/>
  <c r="BL96" i="12" s="1"/>
  <c r="BL97" i="12" s="1"/>
  <c r="BO27" i="12"/>
  <c r="E27" i="12" s="1"/>
  <c r="F27" i="12" s="1"/>
  <c r="BK28" i="12"/>
  <c r="C37" i="13"/>
  <c r="D37" i="13" s="1"/>
  <c r="B11" i="13"/>
  <c r="C10" i="13"/>
  <c r="G26" i="12"/>
  <c r="H26" i="12" s="1"/>
  <c r="BM29" i="12"/>
  <c r="BN28" i="14" l="1"/>
  <c r="F27" i="14"/>
  <c r="G27" i="14" s="1"/>
  <c r="BL29" i="14"/>
  <c r="BK29" i="14"/>
  <c r="BO28" i="14"/>
  <c r="E28" i="14" s="1"/>
  <c r="BM29" i="14"/>
  <c r="H26" i="14"/>
  <c r="BG28" i="14"/>
  <c r="BF28" i="14"/>
  <c r="D28" i="14"/>
  <c r="BA28" i="14"/>
  <c r="BE29" i="14"/>
  <c r="BD29" i="14"/>
  <c r="BC29" i="14"/>
  <c r="BO28" i="12"/>
  <c r="E28" i="12" s="1"/>
  <c r="F28" i="12" s="1"/>
  <c r="BC30" i="12"/>
  <c r="BD30" i="12"/>
  <c r="BN28" i="12"/>
  <c r="BK29" i="12"/>
  <c r="BO29" i="12" s="1"/>
  <c r="E29" i="12" s="1"/>
  <c r="C38" i="13"/>
  <c r="D38" i="13" s="1"/>
  <c r="B12" i="13"/>
  <c r="C11" i="13"/>
  <c r="G27" i="12"/>
  <c r="H27" i="12" s="1"/>
  <c r="BM30" i="12"/>
  <c r="F28" i="14" l="1"/>
  <c r="G28" i="14" s="1"/>
  <c r="H27" i="14"/>
  <c r="BC30" i="14"/>
  <c r="BD30" i="14"/>
  <c r="BF29" i="14"/>
  <c r="BE30" i="14"/>
  <c r="BG29" i="14"/>
  <c r="BA29" i="14"/>
  <c r="D29" i="14"/>
  <c r="BO29" i="14"/>
  <c r="E29" i="14" s="1"/>
  <c r="BM30" i="14"/>
  <c r="BN29" i="14"/>
  <c r="BL30" i="14"/>
  <c r="BK30" i="14"/>
  <c r="BC31" i="12"/>
  <c r="BD31" i="12"/>
  <c r="BN29" i="12"/>
  <c r="BK30" i="12"/>
  <c r="BK31" i="12" s="1"/>
  <c r="C39" i="13"/>
  <c r="D39" i="13" s="1"/>
  <c r="B13" i="13"/>
  <c r="C12" i="13"/>
  <c r="G28" i="12"/>
  <c r="H28" i="12" s="1"/>
  <c r="BM31" i="12"/>
  <c r="F29" i="12"/>
  <c r="F29" i="14" l="1"/>
  <c r="BE31" i="14"/>
  <c r="BG30" i="14"/>
  <c r="BF30" i="14"/>
  <c r="BA30" i="14"/>
  <c r="D30" i="14"/>
  <c r="BK31" i="14"/>
  <c r="BL31" i="14"/>
  <c r="BC31" i="14"/>
  <c r="BD31" i="14"/>
  <c r="BO30" i="14"/>
  <c r="E30" i="14" s="1"/>
  <c r="BM31" i="14"/>
  <c r="BN30" i="14"/>
  <c r="H28" i="14"/>
  <c r="G29" i="14"/>
  <c r="BO30" i="12"/>
  <c r="E30" i="12" s="1"/>
  <c r="F30" i="12" s="1"/>
  <c r="BD32" i="12"/>
  <c r="BC32" i="12"/>
  <c r="BN30" i="12"/>
  <c r="C40" i="13"/>
  <c r="D40" i="13" s="1"/>
  <c r="B14" i="13"/>
  <c r="C13" i="13"/>
  <c r="G29" i="12"/>
  <c r="H29" i="12" s="1"/>
  <c r="BM32" i="12"/>
  <c r="BO31" i="12"/>
  <c r="BK32" i="12"/>
  <c r="BN31" i="12"/>
  <c r="F30" i="14" l="1"/>
  <c r="G30" i="14" s="1"/>
  <c r="BN31" i="14"/>
  <c r="BL32" i="14"/>
  <c r="BK32" i="14"/>
  <c r="H29" i="14"/>
  <c r="BM32" i="14"/>
  <c r="BO31" i="14"/>
  <c r="E31" i="14" s="1"/>
  <c r="BC32" i="14"/>
  <c r="BD32" i="14"/>
  <c r="BF31" i="14"/>
  <c r="BE32" i="14"/>
  <c r="BG31" i="14"/>
  <c r="D31" i="14"/>
  <c r="BA31" i="14"/>
  <c r="BC33" i="12"/>
  <c r="BD33" i="12"/>
  <c r="E31" i="12"/>
  <c r="F31" i="12" s="1"/>
  <c r="C41" i="13"/>
  <c r="D41" i="13" s="1"/>
  <c r="C14" i="13"/>
  <c r="B15" i="13"/>
  <c r="G30" i="12"/>
  <c r="BK33" i="12"/>
  <c r="BN32" i="12"/>
  <c r="BM33" i="12"/>
  <c r="BO32" i="12"/>
  <c r="F31" i="14" l="1"/>
  <c r="G31" i="14" s="1"/>
  <c r="BD33" i="14"/>
  <c r="BC33" i="14"/>
  <c r="BM33" i="14"/>
  <c r="BO32" i="14"/>
  <c r="E32" i="14" s="1"/>
  <c r="H30" i="14"/>
  <c r="BA32" i="14"/>
  <c r="D32" i="14"/>
  <c r="BF32" i="14"/>
  <c r="BG32" i="14"/>
  <c r="BE33" i="14"/>
  <c r="BN32" i="14"/>
  <c r="BK33" i="14"/>
  <c r="BL33" i="14"/>
  <c r="BC34" i="12"/>
  <c r="BD34" i="12"/>
  <c r="G31" i="12"/>
  <c r="H31" i="12" s="1"/>
  <c r="E32" i="12"/>
  <c r="F32" i="12" s="1"/>
  <c r="C42" i="13"/>
  <c r="D42" i="13"/>
  <c r="C15" i="13"/>
  <c r="B16" i="13"/>
  <c r="H30" i="12"/>
  <c r="BM34" i="12"/>
  <c r="BO33" i="12"/>
  <c r="BK34" i="12"/>
  <c r="BN33" i="12"/>
  <c r="F32" i="14" l="1"/>
  <c r="G32" i="14" s="1"/>
  <c r="BL34" i="14"/>
  <c r="BK34" i="14"/>
  <c r="BN33" i="14"/>
  <c r="H31" i="14"/>
  <c r="BE34" i="14"/>
  <c r="BG33" i="14"/>
  <c r="BA33" i="14"/>
  <c r="D33" i="14"/>
  <c r="BF33" i="14"/>
  <c r="BO33" i="14"/>
  <c r="E33" i="14" s="1"/>
  <c r="BM34" i="14"/>
  <c r="BD34" i="14"/>
  <c r="BC34" i="14"/>
  <c r="BC35" i="12"/>
  <c r="BD35" i="12"/>
  <c r="G32" i="12"/>
  <c r="H32" i="12" s="1"/>
  <c r="E33" i="12"/>
  <c r="F33" i="12" s="1"/>
  <c r="C16" i="13"/>
  <c r="B17" i="13"/>
  <c r="C43" i="13"/>
  <c r="D43" i="13" s="1"/>
  <c r="BK35" i="12"/>
  <c r="BN34" i="12"/>
  <c r="BM35" i="12"/>
  <c r="BO34" i="12"/>
  <c r="E34" i="12" s="1"/>
  <c r="F33" i="14" l="1"/>
  <c r="BN34" i="14"/>
  <c r="BG34" i="14"/>
  <c r="BA34" i="14"/>
  <c r="D34" i="14"/>
  <c r="BF34" i="14"/>
  <c r="BE35" i="14"/>
  <c r="BD35" i="14"/>
  <c r="BC35" i="14"/>
  <c r="G33" i="14"/>
  <c r="H32" i="14"/>
  <c r="BM35" i="14"/>
  <c r="BO34" i="14"/>
  <c r="E34" i="14" s="1"/>
  <c r="BK35" i="14"/>
  <c r="BL35" i="14"/>
  <c r="BC36" i="12"/>
  <c r="BD36" i="12"/>
  <c r="G33" i="12"/>
  <c r="H33" i="12" s="1"/>
  <c r="C44" i="13"/>
  <c r="D44" i="13" s="1"/>
  <c r="B18" i="13"/>
  <c r="C17" i="13"/>
  <c r="F34" i="12"/>
  <c r="BM36" i="12"/>
  <c r="BO35" i="12"/>
  <c r="E35" i="12" s="1"/>
  <c r="BK36" i="12"/>
  <c r="BN35" i="12"/>
  <c r="F34" i="14" l="1"/>
  <c r="G34" i="14" s="1"/>
  <c r="H33" i="14"/>
  <c r="BD36" i="14"/>
  <c r="BC36" i="14"/>
  <c r="BL36" i="14"/>
  <c r="BK36" i="14"/>
  <c r="BE36" i="14"/>
  <c r="BA35" i="14"/>
  <c r="D35" i="14"/>
  <c r="BG35" i="14"/>
  <c r="BF35" i="14"/>
  <c r="BN35" i="14"/>
  <c r="BM36" i="14"/>
  <c r="BO35" i="14"/>
  <c r="E35" i="14" s="1"/>
  <c r="BC37" i="12"/>
  <c r="BD37" i="12"/>
  <c r="G34" i="12"/>
  <c r="H34" i="12" s="1"/>
  <c r="C45" i="13"/>
  <c r="D45" i="13"/>
  <c r="B19" i="13"/>
  <c r="C18" i="13"/>
  <c r="BM37" i="12"/>
  <c r="BO36" i="12"/>
  <c r="E36" i="12" s="1"/>
  <c r="BK37" i="12"/>
  <c r="BN36" i="12"/>
  <c r="F35" i="12"/>
  <c r="F35" i="14" l="1"/>
  <c r="BN36" i="14"/>
  <c r="BA36" i="14"/>
  <c r="BE37" i="14"/>
  <c r="D36" i="14"/>
  <c r="BF36" i="14"/>
  <c r="BG36" i="14"/>
  <c r="BL37" i="14"/>
  <c r="BK37" i="14"/>
  <c r="BM37" i="14"/>
  <c r="BO36" i="14"/>
  <c r="E36" i="14" s="1"/>
  <c r="BC37" i="14"/>
  <c r="BD37" i="14"/>
  <c r="G35" i="14"/>
  <c r="H34" i="14"/>
  <c r="BC38" i="12"/>
  <c r="BD38" i="12"/>
  <c r="G35" i="12"/>
  <c r="H35" i="12" s="1"/>
  <c r="C19" i="13"/>
  <c r="B20" i="13"/>
  <c r="C46" i="13"/>
  <c r="D46" i="13" s="1"/>
  <c r="BK38" i="12"/>
  <c r="BN37" i="12"/>
  <c r="BM38" i="12"/>
  <c r="BO37" i="12"/>
  <c r="E37" i="12" s="1"/>
  <c r="F36" i="12"/>
  <c r="F36" i="14" l="1"/>
  <c r="BN37" i="14"/>
  <c r="BC38" i="14"/>
  <c r="BD38" i="14"/>
  <c r="BA37" i="14"/>
  <c r="D37" i="14"/>
  <c r="BE38" i="14"/>
  <c r="BF37" i="14"/>
  <c r="BG37" i="14"/>
  <c r="BK38" i="14"/>
  <c r="BL38" i="14"/>
  <c r="G36" i="14"/>
  <c r="H35" i="14"/>
  <c r="BO37" i="14"/>
  <c r="E37" i="14" s="1"/>
  <c r="BM38" i="14"/>
  <c r="G36" i="12"/>
  <c r="H36" i="12" s="1"/>
  <c r="BC39" i="12"/>
  <c r="BD39" i="12"/>
  <c r="C47" i="13"/>
  <c r="D47" i="13"/>
  <c r="B21" i="13"/>
  <c r="C20" i="13"/>
  <c r="BM39" i="12"/>
  <c r="BO38" i="12"/>
  <c r="E38" i="12" s="1"/>
  <c r="F38" i="12" s="1"/>
  <c r="F37" i="12"/>
  <c r="BK39" i="12"/>
  <c r="BN38" i="12"/>
  <c r="F37" i="14" l="1"/>
  <c r="G37" i="14" s="1"/>
  <c r="G37" i="12"/>
  <c r="G38" i="12" s="1"/>
  <c r="BO38" i="14"/>
  <c r="E38" i="14" s="1"/>
  <c r="BM39" i="14"/>
  <c r="BG38" i="14"/>
  <c r="BA38" i="14"/>
  <c r="BF38" i="14"/>
  <c r="D38" i="14"/>
  <c r="BE39" i="14"/>
  <c r="H36" i="14"/>
  <c r="BD39" i="14"/>
  <c r="BC39" i="14"/>
  <c r="BL39" i="14"/>
  <c r="BK39" i="14"/>
  <c r="BN38" i="14"/>
  <c r="BD40" i="12"/>
  <c r="BC40" i="12"/>
  <c r="C21" i="13"/>
  <c r="B22" i="13"/>
  <c r="C48" i="13"/>
  <c r="D48" i="13" s="1"/>
  <c r="BK40" i="12"/>
  <c r="BN39" i="12"/>
  <c r="BM40" i="12"/>
  <c r="BO39" i="12"/>
  <c r="E39" i="12" s="1"/>
  <c r="H37" i="12" l="1"/>
  <c r="F38" i="14"/>
  <c r="G38" i="14" s="1"/>
  <c r="BN39" i="14"/>
  <c r="H37" i="14"/>
  <c r="BA39" i="14"/>
  <c r="BF39" i="14"/>
  <c r="BG39" i="14"/>
  <c r="BE40" i="14"/>
  <c r="D39" i="14"/>
  <c r="BL40" i="14"/>
  <c r="BK40" i="14"/>
  <c r="BD40" i="14"/>
  <c r="BC40" i="14"/>
  <c r="BO39" i="14"/>
  <c r="E39" i="14" s="1"/>
  <c r="BM40" i="14"/>
  <c r="BC41" i="12"/>
  <c r="BD41" i="12"/>
  <c r="C49" i="13"/>
  <c r="D49" i="13"/>
  <c r="C22" i="13"/>
  <c r="B23" i="13"/>
  <c r="BM41" i="12"/>
  <c r="BO40" i="12"/>
  <c r="E40" i="12" s="1"/>
  <c r="F40" i="12" s="1"/>
  <c r="BK41" i="12"/>
  <c r="BN40" i="12"/>
  <c r="F39" i="12"/>
  <c r="G39" i="12" s="1"/>
  <c r="H38" i="12"/>
  <c r="F39" i="14" l="1"/>
  <c r="G39" i="14" s="1"/>
  <c r="BN40" i="14"/>
  <c r="BO40" i="14"/>
  <c r="E40" i="14" s="1"/>
  <c r="BM41" i="14"/>
  <c r="BD41" i="14"/>
  <c r="BC41" i="14"/>
  <c r="H38" i="14"/>
  <c r="D40" i="14"/>
  <c r="BF40" i="14"/>
  <c r="BE41" i="14"/>
  <c r="BA40" i="14"/>
  <c r="BG40" i="14"/>
  <c r="BK41" i="14"/>
  <c r="BL41" i="14"/>
  <c r="BC42" i="12"/>
  <c r="BD42" i="12"/>
  <c r="C23" i="13"/>
  <c r="B24" i="13"/>
  <c r="C50" i="13"/>
  <c r="D50" i="13" s="1"/>
  <c r="BK42" i="12"/>
  <c r="BN41" i="12"/>
  <c r="BM42" i="12"/>
  <c r="BO41" i="12"/>
  <c r="E41" i="12" s="1"/>
  <c r="H39" i="12"/>
  <c r="G40" i="12"/>
  <c r="F40" i="14" l="1"/>
  <c r="G40" i="14" s="1"/>
  <c r="H39" i="14"/>
  <c r="BL42" i="14"/>
  <c r="BK42" i="14"/>
  <c r="BN41" i="14"/>
  <c r="BC42" i="14"/>
  <c r="BD42" i="14"/>
  <c r="BO41" i="14"/>
  <c r="E41" i="14" s="1"/>
  <c r="BM42" i="14"/>
  <c r="BF41" i="14"/>
  <c r="BE42" i="14"/>
  <c r="D41" i="14"/>
  <c r="BG41" i="14"/>
  <c r="BA41" i="14"/>
  <c r="BC43" i="12"/>
  <c r="BD43" i="12"/>
  <c r="C51" i="13"/>
  <c r="D51" i="13" s="1"/>
  <c r="B25" i="13"/>
  <c r="C24" i="13"/>
  <c r="BM43" i="12"/>
  <c r="BO42" i="12"/>
  <c r="E42" i="12" s="1"/>
  <c r="BK43" i="12"/>
  <c r="BN42" i="12"/>
  <c r="F41" i="12"/>
  <c r="G41" i="12" s="1"/>
  <c r="H40" i="12"/>
  <c r="F41" i="14" l="1"/>
  <c r="G41" i="14" s="1"/>
  <c r="BN42" i="14"/>
  <c r="BE43" i="14"/>
  <c r="D42" i="14"/>
  <c r="BG42" i="14"/>
  <c r="BA42" i="14"/>
  <c r="BF42" i="14"/>
  <c r="BK43" i="14"/>
  <c r="BL43" i="14"/>
  <c r="BD43" i="14"/>
  <c r="BC43" i="14"/>
  <c r="BO42" i="14"/>
  <c r="E42" i="14" s="1"/>
  <c r="BM43" i="14"/>
  <c r="H40" i="14"/>
  <c r="BC44" i="12"/>
  <c r="BD44" i="12"/>
  <c r="C52" i="13"/>
  <c r="D52" i="13"/>
  <c r="B26" i="13"/>
  <c r="C26" i="13" s="1"/>
  <c r="C25" i="13"/>
  <c r="BK44" i="12"/>
  <c r="BN43" i="12"/>
  <c r="F42" i="12"/>
  <c r="G42" i="12" s="1"/>
  <c r="BM44" i="12"/>
  <c r="BO43" i="12"/>
  <c r="H41" i="12"/>
  <c r="F42" i="14" l="1"/>
  <c r="G42" i="14" s="1"/>
  <c r="H41" i="14"/>
  <c r="BM44" i="14"/>
  <c r="BO43" i="14"/>
  <c r="E43" i="14" s="1"/>
  <c r="BD44" i="14"/>
  <c r="BC44" i="14"/>
  <c r="BN43" i="14"/>
  <c r="BL44" i="14"/>
  <c r="BK44" i="14"/>
  <c r="BE44" i="14"/>
  <c r="D43" i="14"/>
  <c r="BG43" i="14"/>
  <c r="BF43" i="14"/>
  <c r="BA43" i="14"/>
  <c r="BC45" i="12"/>
  <c r="BD45" i="12"/>
  <c r="E43" i="12"/>
  <c r="F43" i="12" s="1"/>
  <c r="G43" i="12" s="1"/>
  <c r="C53" i="13"/>
  <c r="D53" i="13"/>
  <c r="BM45" i="12"/>
  <c r="BO44" i="12"/>
  <c r="E44" i="12" s="1"/>
  <c r="BK45" i="12"/>
  <c r="BN44" i="12"/>
  <c r="H42" i="12"/>
  <c r="F43" i="14" l="1"/>
  <c r="G43" i="14" s="1"/>
  <c r="BL45" i="14"/>
  <c r="BK45" i="14"/>
  <c r="BD45" i="14"/>
  <c r="BC45" i="14"/>
  <c r="BM45" i="14"/>
  <c r="BO44" i="14"/>
  <c r="E44" i="14" s="1"/>
  <c r="BF44" i="14"/>
  <c r="BE45" i="14"/>
  <c r="D44" i="14"/>
  <c r="BG44" i="14"/>
  <c r="BA44" i="14"/>
  <c r="H42" i="14"/>
  <c r="BN44" i="14"/>
  <c r="BC46" i="12"/>
  <c r="BD46" i="12"/>
  <c r="F44" i="12"/>
  <c r="G44" i="12" s="1"/>
  <c r="C54" i="13"/>
  <c r="D54" i="13"/>
  <c r="BK46" i="12"/>
  <c r="BN45" i="12"/>
  <c r="BM46" i="12"/>
  <c r="BO45" i="12"/>
  <c r="E45" i="12" s="1"/>
  <c r="F45" i="12" s="1"/>
  <c r="H43" i="12"/>
  <c r="F44" i="14" l="1"/>
  <c r="G44" i="14" s="1"/>
  <c r="BM46" i="14"/>
  <c r="BO45" i="14"/>
  <c r="E45" i="14" s="1"/>
  <c r="H43" i="14"/>
  <c r="BC46" i="14"/>
  <c r="BD46" i="14"/>
  <c r="BN45" i="14"/>
  <c r="BA45" i="14"/>
  <c r="D45" i="14"/>
  <c r="BF45" i="14"/>
  <c r="BE46" i="14"/>
  <c r="BG45" i="14"/>
  <c r="BL46" i="14"/>
  <c r="BK46" i="14"/>
  <c r="BC47" i="12"/>
  <c r="BD47" i="12"/>
  <c r="C55" i="13"/>
  <c r="D55" i="13" s="1"/>
  <c r="BM47" i="12"/>
  <c r="BO46" i="12"/>
  <c r="E46" i="12" s="1"/>
  <c r="F46" i="12" s="1"/>
  <c r="BK47" i="12"/>
  <c r="BN46" i="12"/>
  <c r="H44" i="12"/>
  <c r="G45" i="12"/>
  <c r="F45" i="14" l="1"/>
  <c r="BD47" i="14"/>
  <c r="BC47" i="14"/>
  <c r="BN46" i="14"/>
  <c r="BL47" i="14"/>
  <c r="BK47" i="14"/>
  <c r="BG46" i="14"/>
  <c r="BF46" i="14"/>
  <c r="BE47" i="14"/>
  <c r="BA46" i="14"/>
  <c r="D46" i="14"/>
  <c r="H44" i="14"/>
  <c r="G45" i="14"/>
  <c r="BO46" i="14"/>
  <c r="E46" i="14" s="1"/>
  <c r="BM47" i="14"/>
  <c r="BD48" i="12"/>
  <c r="BC48" i="12"/>
  <c r="C56" i="13"/>
  <c r="D56" i="13" s="1"/>
  <c r="BK48" i="12"/>
  <c r="BN47" i="12"/>
  <c r="BM48" i="12"/>
  <c r="BO47" i="12"/>
  <c r="E47" i="12" s="1"/>
  <c r="G46" i="12"/>
  <c r="H45" i="12"/>
  <c r="F46" i="14" l="1"/>
  <c r="G46" i="14" s="1"/>
  <c r="BO47" i="14"/>
  <c r="E47" i="14" s="1"/>
  <c r="BM48" i="14"/>
  <c r="BN47" i="14"/>
  <c r="H45" i="14"/>
  <c r="BL48" i="14"/>
  <c r="BK48" i="14"/>
  <c r="BG47" i="14"/>
  <c r="BF47" i="14"/>
  <c r="D47" i="14"/>
  <c r="BE48" i="14"/>
  <c r="BA47" i="14"/>
  <c r="BD48" i="14"/>
  <c r="BC48" i="14"/>
  <c r="BC49" i="12"/>
  <c r="BD49" i="12"/>
  <c r="C57" i="13"/>
  <c r="D57" i="13"/>
  <c r="BM49" i="12"/>
  <c r="BO48" i="12"/>
  <c r="E48" i="12" s="1"/>
  <c r="F47" i="12"/>
  <c r="G47" i="12" s="1"/>
  <c r="BK49" i="12"/>
  <c r="BN48" i="12"/>
  <c r="H46" i="12"/>
  <c r="F47" i="14" l="1"/>
  <c r="G47" i="14" s="1"/>
  <c r="BN48" i="14"/>
  <c r="BK49" i="14"/>
  <c r="BL49" i="14"/>
  <c r="BD49" i="14"/>
  <c r="BC49" i="14"/>
  <c r="H46" i="14"/>
  <c r="BG48" i="14"/>
  <c r="BF48" i="14"/>
  <c r="D48" i="14"/>
  <c r="BA48" i="14"/>
  <c r="BE49" i="14"/>
  <c r="BM49" i="14"/>
  <c r="BO48" i="14"/>
  <c r="E48" i="14" s="1"/>
  <c r="BC50" i="12"/>
  <c r="BD50" i="12"/>
  <c r="C58" i="13"/>
  <c r="D58" i="13" s="1"/>
  <c r="BK50" i="12"/>
  <c r="BN49" i="12"/>
  <c r="BM50" i="12"/>
  <c r="BO49" i="12"/>
  <c r="E49" i="12" s="1"/>
  <c r="F48" i="12"/>
  <c r="G48" i="12" s="1"/>
  <c r="H47" i="12"/>
  <c r="F48" i="14" l="1"/>
  <c r="G48" i="14" s="1"/>
  <c r="H47" i="14"/>
  <c r="BM50" i="14"/>
  <c r="BO49" i="14"/>
  <c r="E49" i="14" s="1"/>
  <c r="BD50" i="14"/>
  <c r="BC50" i="14"/>
  <c r="BL50" i="14"/>
  <c r="BK50" i="14"/>
  <c r="BN49" i="14"/>
  <c r="BE50" i="14"/>
  <c r="BF49" i="14"/>
  <c r="BG49" i="14"/>
  <c r="D49" i="14"/>
  <c r="BA49" i="14"/>
  <c r="BC51" i="12"/>
  <c r="BD51" i="12"/>
  <c r="C59" i="13"/>
  <c r="D59" i="13" s="1"/>
  <c r="BM51" i="12"/>
  <c r="BO50" i="12"/>
  <c r="E50" i="12" s="1"/>
  <c r="F49" i="12"/>
  <c r="G49" i="12" s="1"/>
  <c r="BK51" i="12"/>
  <c r="BN50" i="12"/>
  <c r="H48" i="12"/>
  <c r="F49" i="14" l="1"/>
  <c r="BN50" i="14"/>
  <c r="BK51" i="14"/>
  <c r="BL51" i="14"/>
  <c r="BC51" i="14"/>
  <c r="BD51" i="14"/>
  <c r="BM51" i="14"/>
  <c r="BO50" i="14"/>
  <c r="E50" i="14" s="1"/>
  <c r="BF50" i="14"/>
  <c r="BG50" i="14"/>
  <c r="BA50" i="14"/>
  <c r="D50" i="14"/>
  <c r="BE51" i="14"/>
  <c r="G49" i="14"/>
  <c r="H48" i="14"/>
  <c r="BC52" i="12"/>
  <c r="BD52" i="12"/>
  <c r="C60" i="13"/>
  <c r="D60" i="13"/>
  <c r="BK52" i="12"/>
  <c r="BN51" i="12"/>
  <c r="BM52" i="12"/>
  <c r="BO51" i="12"/>
  <c r="E51" i="12" s="1"/>
  <c r="F50" i="12"/>
  <c r="G50" i="12" s="1"/>
  <c r="H49" i="12"/>
  <c r="F50" i="14" l="1"/>
  <c r="G50" i="14" s="1"/>
  <c r="BM52" i="14"/>
  <c r="BO51" i="14"/>
  <c r="E51" i="14" s="1"/>
  <c r="H49" i="14"/>
  <c r="BD52" i="14"/>
  <c r="BC52" i="14"/>
  <c r="BA51" i="14"/>
  <c r="D51" i="14"/>
  <c r="BF51" i="14"/>
  <c r="BG51" i="14"/>
  <c r="BE52" i="14"/>
  <c r="BK52" i="14"/>
  <c r="BL52" i="14"/>
  <c r="BN51" i="14"/>
  <c r="BC53" i="12"/>
  <c r="BD53" i="12"/>
  <c r="C61" i="13"/>
  <c r="D61" i="13"/>
  <c r="BM53" i="12"/>
  <c r="BO52" i="12"/>
  <c r="E52" i="12" s="1"/>
  <c r="F52" i="12" s="1"/>
  <c r="F51" i="12"/>
  <c r="G51" i="12" s="1"/>
  <c r="BK53" i="12"/>
  <c r="BN52" i="12"/>
  <c r="H50" i="12"/>
  <c r="F51" i="14" l="1"/>
  <c r="G51" i="14" s="1"/>
  <c r="BN52" i="14"/>
  <c r="BD53" i="14"/>
  <c r="BC53" i="14"/>
  <c r="BE53" i="14"/>
  <c r="BG52" i="14"/>
  <c r="BF52" i="14"/>
  <c r="BA52" i="14"/>
  <c r="D52" i="14"/>
  <c r="H50" i="14"/>
  <c r="BL53" i="14"/>
  <c r="BK53" i="14"/>
  <c r="BM53" i="14"/>
  <c r="BO52" i="14"/>
  <c r="E52" i="14" s="1"/>
  <c r="BC54" i="12"/>
  <c r="BD54" i="12"/>
  <c r="C62" i="13"/>
  <c r="D62" i="13" s="1"/>
  <c r="BK54" i="12"/>
  <c r="BN53" i="12"/>
  <c r="BM54" i="12"/>
  <c r="BO53" i="12"/>
  <c r="E53" i="12" s="1"/>
  <c r="F53" i="12" s="1"/>
  <c r="H51" i="12"/>
  <c r="G52" i="12"/>
  <c r="F52" i="14" l="1"/>
  <c r="G52" i="14" s="1"/>
  <c r="BN53" i="14"/>
  <c r="BA53" i="14"/>
  <c r="BF53" i="14"/>
  <c r="BG53" i="14"/>
  <c r="BE54" i="14"/>
  <c r="D53" i="14"/>
  <c r="BM54" i="14"/>
  <c r="BO53" i="14"/>
  <c r="E53" i="14" s="1"/>
  <c r="BL54" i="14"/>
  <c r="BK54" i="14"/>
  <c r="H51" i="14"/>
  <c r="BD54" i="14"/>
  <c r="BC54" i="14"/>
  <c r="BC55" i="12"/>
  <c r="BD55" i="12"/>
  <c r="C63" i="13"/>
  <c r="D63" i="13" s="1"/>
  <c r="BM55" i="12"/>
  <c r="BO54" i="12"/>
  <c r="E54" i="12" s="1"/>
  <c r="F54" i="12" s="1"/>
  <c r="BK55" i="12"/>
  <c r="BN54" i="12"/>
  <c r="H52" i="12"/>
  <c r="G53" i="12"/>
  <c r="F53" i="14" l="1"/>
  <c r="G53" i="14" s="1"/>
  <c r="BM55" i="14"/>
  <c r="BO54" i="14"/>
  <c r="E54" i="14" s="1"/>
  <c r="BC55" i="14"/>
  <c r="BD55" i="14"/>
  <c r="BA54" i="14"/>
  <c r="D54" i="14"/>
  <c r="BG54" i="14"/>
  <c r="BF54" i="14"/>
  <c r="BE55" i="14"/>
  <c r="BN54" i="14"/>
  <c r="H52" i="14"/>
  <c r="BL55" i="14"/>
  <c r="BK55" i="14"/>
  <c r="BD56" i="12"/>
  <c r="BC56" i="12"/>
  <c r="C64" i="13"/>
  <c r="D64" i="13"/>
  <c r="BK56" i="12"/>
  <c r="BN55" i="12"/>
  <c r="BM56" i="12"/>
  <c r="BO55" i="12"/>
  <c r="E55" i="12" s="1"/>
  <c r="F55" i="12" s="1"/>
  <c r="G54" i="12"/>
  <c r="H53" i="12"/>
  <c r="F54" i="14" l="1"/>
  <c r="G54" i="14" s="1"/>
  <c r="BD56" i="14"/>
  <c r="BC56" i="14"/>
  <c r="BK56" i="14"/>
  <c r="BL56" i="14"/>
  <c r="H53" i="14"/>
  <c r="BN55" i="14"/>
  <c r="BG55" i="14"/>
  <c r="BF55" i="14"/>
  <c r="BA55" i="14"/>
  <c r="D55" i="14"/>
  <c r="BE56" i="14"/>
  <c r="BM56" i="14"/>
  <c r="BO55" i="14"/>
  <c r="E55" i="14" s="1"/>
  <c r="BC57" i="12"/>
  <c r="BD57" i="12"/>
  <c r="C65" i="13"/>
  <c r="D65" i="13" s="1"/>
  <c r="BM57" i="12"/>
  <c r="BO56" i="12"/>
  <c r="E56" i="12" s="1"/>
  <c r="F56" i="12" s="1"/>
  <c r="BK57" i="12"/>
  <c r="BN56" i="12"/>
  <c r="G55" i="12"/>
  <c r="H54" i="12"/>
  <c r="F55" i="14" l="1"/>
  <c r="G55" i="14" s="1"/>
  <c r="BO56" i="14"/>
  <c r="E56" i="14" s="1"/>
  <c r="BM57" i="14"/>
  <c r="H54" i="14"/>
  <c r="BE57" i="14"/>
  <c r="BG56" i="14"/>
  <c r="BA56" i="14"/>
  <c r="D56" i="14"/>
  <c r="BF56" i="14"/>
  <c r="BL57" i="14"/>
  <c r="BK57" i="14"/>
  <c r="BN56" i="14"/>
  <c r="BD57" i="14"/>
  <c r="BC57" i="14"/>
  <c r="BC58" i="12"/>
  <c r="BD58" i="12"/>
  <c r="C66" i="13"/>
  <c r="D66" i="13" s="1"/>
  <c r="BK58" i="12"/>
  <c r="BN57" i="12"/>
  <c r="BM58" i="12"/>
  <c r="BO57" i="12"/>
  <c r="E57" i="12" s="1"/>
  <c r="H55" i="12"/>
  <c r="G56" i="12"/>
  <c r="F56" i="14" l="1"/>
  <c r="G56" i="14" s="1"/>
  <c r="BD58" i="14"/>
  <c r="BC58" i="14"/>
  <c r="BE58" i="14"/>
  <c r="BA57" i="14"/>
  <c r="D57" i="14"/>
  <c r="BG57" i="14"/>
  <c r="BF57" i="14"/>
  <c r="BN57" i="14"/>
  <c r="H55" i="14"/>
  <c r="BL58" i="14"/>
  <c r="BK58" i="14"/>
  <c r="BM58" i="14"/>
  <c r="BO57" i="14"/>
  <c r="E57" i="14" s="1"/>
  <c r="BC59" i="12"/>
  <c r="BD59" i="12"/>
  <c r="C67" i="13"/>
  <c r="D67" i="13" s="1"/>
  <c r="BM59" i="12"/>
  <c r="BO58" i="12"/>
  <c r="E58" i="12" s="1"/>
  <c r="F58" i="12" s="1"/>
  <c r="BK59" i="12"/>
  <c r="BN58" i="12"/>
  <c r="F57" i="12"/>
  <c r="G57" i="12" s="1"/>
  <c r="H56" i="12"/>
  <c r="F57" i="14" l="1"/>
  <c r="G57" i="14" s="1"/>
  <c r="BL59" i="14"/>
  <c r="BK59" i="14"/>
  <c r="BF58" i="14"/>
  <c r="BA58" i="14"/>
  <c r="D58" i="14"/>
  <c r="BG58" i="14"/>
  <c r="BE59" i="14"/>
  <c r="BM59" i="14"/>
  <c r="BO58" i="14"/>
  <c r="E58" i="14" s="1"/>
  <c r="H56" i="14"/>
  <c r="BN58" i="14"/>
  <c r="BC59" i="14"/>
  <c r="BD59" i="14"/>
  <c r="BC60" i="12"/>
  <c r="BD60" i="12"/>
  <c r="C68" i="13"/>
  <c r="D68" i="13" s="1"/>
  <c r="BK60" i="12"/>
  <c r="BN59" i="12"/>
  <c r="BM60" i="12"/>
  <c r="BO59" i="12"/>
  <c r="E59" i="12" s="1"/>
  <c r="G58" i="12"/>
  <c r="H57" i="12"/>
  <c r="F58" i="14" l="1"/>
  <c r="G58" i="14" s="1"/>
  <c r="BO59" i="14"/>
  <c r="E59" i="14" s="1"/>
  <c r="BM60" i="14"/>
  <c r="BD60" i="14"/>
  <c r="BC60" i="14"/>
  <c r="H57" i="14"/>
  <c r="BN59" i="14"/>
  <c r="BA59" i="14"/>
  <c r="D59" i="14"/>
  <c r="BG59" i="14"/>
  <c r="BF59" i="14"/>
  <c r="BE60" i="14"/>
  <c r="BK60" i="14"/>
  <c r="BL60" i="14"/>
  <c r="BC61" i="12"/>
  <c r="BD61" i="12"/>
  <c r="C69" i="13"/>
  <c r="D69" i="13" s="1"/>
  <c r="BM61" i="12"/>
  <c r="BO60" i="12"/>
  <c r="E60" i="12" s="1"/>
  <c r="F59" i="12"/>
  <c r="G59" i="12" s="1"/>
  <c r="BK61" i="12"/>
  <c r="BN60" i="12"/>
  <c r="H58" i="12"/>
  <c r="F59" i="14" l="1"/>
  <c r="G59" i="14" s="1"/>
  <c r="BL61" i="14"/>
  <c r="BK61" i="14"/>
  <c r="BN60" i="14"/>
  <c r="H58" i="14"/>
  <c r="BE61" i="14"/>
  <c r="BG60" i="14"/>
  <c r="BA60" i="14"/>
  <c r="D60" i="14"/>
  <c r="BF60" i="14"/>
  <c r="BD61" i="14"/>
  <c r="BC61" i="14"/>
  <c r="BO60" i="14"/>
  <c r="E60" i="14" s="1"/>
  <c r="BM61" i="14"/>
  <c r="BM62" i="14" s="1"/>
  <c r="BM63" i="14" s="1"/>
  <c r="BM64" i="14" s="1"/>
  <c r="BM65" i="14" s="1"/>
  <c r="BM66" i="14" s="1"/>
  <c r="BM67" i="14" s="1"/>
  <c r="BM68" i="14" s="1"/>
  <c r="BM69" i="14" s="1"/>
  <c r="BM70" i="14" s="1"/>
  <c r="BM71" i="14" s="1"/>
  <c r="BM72" i="14" s="1"/>
  <c r="BM73" i="14" s="1"/>
  <c r="BM74" i="14" s="1"/>
  <c r="BM75" i="14" s="1"/>
  <c r="BM76" i="14" s="1"/>
  <c r="BM77" i="14" s="1"/>
  <c r="BM78" i="14" s="1"/>
  <c r="BM79" i="14" s="1"/>
  <c r="BM80" i="14" s="1"/>
  <c r="BM81" i="14" s="1"/>
  <c r="BM82" i="14" s="1"/>
  <c r="BM83" i="14" s="1"/>
  <c r="BM84" i="14" s="1"/>
  <c r="BM85" i="14" s="1"/>
  <c r="BM86" i="14" s="1"/>
  <c r="BM87" i="14" s="1"/>
  <c r="BM88" i="14" s="1"/>
  <c r="BM89" i="14" s="1"/>
  <c r="BM90" i="14" s="1"/>
  <c r="BM91" i="14" s="1"/>
  <c r="BM92" i="14" s="1"/>
  <c r="BM93" i="14" s="1"/>
  <c r="BM94" i="14" s="1"/>
  <c r="BM95" i="14" s="1"/>
  <c r="BM96" i="14" s="1"/>
  <c r="BC62" i="12"/>
  <c r="BD62" i="12"/>
  <c r="C70" i="13"/>
  <c r="D70" i="13" s="1"/>
  <c r="BM62" i="12"/>
  <c r="BO61" i="12"/>
  <c r="E61" i="12" s="1"/>
  <c r="F60" i="12"/>
  <c r="G60" i="12" s="1"/>
  <c r="BK62" i="12"/>
  <c r="BN61" i="12"/>
  <c r="H59" i="12"/>
  <c r="F60" i="14" l="1"/>
  <c r="F97" i="14" s="1"/>
  <c r="BN61" i="14"/>
  <c r="BE62" i="14"/>
  <c r="BG61" i="14"/>
  <c r="BF61" i="14"/>
  <c r="H59" i="14"/>
  <c r="G60" i="14"/>
  <c r="H60" i="14" s="1"/>
  <c r="BD62" i="14"/>
  <c r="BC62" i="14"/>
  <c r="BL62" i="14"/>
  <c r="BK62" i="14"/>
  <c r="BC63" i="12"/>
  <c r="BD63" i="12"/>
  <c r="C71" i="13"/>
  <c r="D71" i="13" s="1"/>
  <c r="BK63" i="12"/>
  <c r="BN62" i="12"/>
  <c r="F61" i="12"/>
  <c r="G61" i="12" s="1"/>
  <c r="BM63" i="12"/>
  <c r="BO62" i="12"/>
  <c r="E62" i="12" s="1"/>
  <c r="F62" i="12" s="1"/>
  <c r="H60" i="12"/>
  <c r="H97" i="14" l="1"/>
  <c r="L54" i="14" s="1"/>
  <c r="BK63" i="14"/>
  <c r="BL63" i="14"/>
  <c r="BC63" i="14"/>
  <c r="BD63" i="14"/>
  <c r="BN62" i="14"/>
  <c r="BF62" i="14"/>
  <c r="BG62" i="14"/>
  <c r="BE63" i="14"/>
  <c r="BD64" i="12"/>
  <c r="BC64" i="12"/>
  <c r="C72" i="13"/>
  <c r="D72" i="13" s="1"/>
  <c r="BM64" i="12"/>
  <c r="BO63" i="12"/>
  <c r="E63" i="12" s="1"/>
  <c r="F63" i="12" s="1"/>
  <c r="BK64" i="12"/>
  <c r="BN63" i="12"/>
  <c r="G62" i="12"/>
  <c r="H61" i="12"/>
  <c r="L49" i="14" l="1"/>
  <c r="Q49" i="14" s="1"/>
  <c r="S49" i="14" s="1"/>
  <c r="L32" i="14"/>
  <c r="Q32" i="14" s="1"/>
  <c r="S32" i="14" s="1"/>
  <c r="L57" i="14"/>
  <c r="Q57" i="14" s="1"/>
  <c r="S57" i="14" s="1"/>
  <c r="L37" i="14"/>
  <c r="Q37" i="14" s="1"/>
  <c r="S37" i="14" s="1"/>
  <c r="L28" i="14"/>
  <c r="Q28" i="14" s="1"/>
  <c r="S28" i="14" s="1"/>
  <c r="L25" i="14"/>
  <c r="J25" i="14" s="1"/>
  <c r="L30" i="14"/>
  <c r="Q30" i="14" s="1"/>
  <c r="S30" i="14" s="1"/>
  <c r="L45" i="14"/>
  <c r="Q45" i="14" s="1"/>
  <c r="S45" i="14" s="1"/>
  <c r="L46" i="14"/>
  <c r="Q46" i="14" s="1"/>
  <c r="S46" i="14" s="1"/>
  <c r="L55" i="14"/>
  <c r="Q55" i="14" s="1"/>
  <c r="S55" i="14" s="1"/>
  <c r="L34" i="14"/>
  <c r="Q34" i="14" s="1"/>
  <c r="S34" i="14" s="1"/>
  <c r="L33" i="14"/>
  <c r="Q33" i="14" s="1"/>
  <c r="S33" i="14" s="1"/>
  <c r="L51" i="14"/>
  <c r="Q51" i="14" s="1"/>
  <c r="S51" i="14" s="1"/>
  <c r="L48" i="14"/>
  <c r="Q48" i="14" s="1"/>
  <c r="S48" i="14" s="1"/>
  <c r="L56" i="14"/>
  <c r="Q56" i="14" s="1"/>
  <c r="S56" i="14" s="1"/>
  <c r="L36" i="14"/>
  <c r="Q36" i="14" s="1"/>
  <c r="S36" i="14" s="1"/>
  <c r="L47" i="14"/>
  <c r="Q47" i="14" s="1"/>
  <c r="S47" i="14" s="1"/>
  <c r="L50" i="14"/>
  <c r="Q50" i="14" s="1"/>
  <c r="S50" i="14" s="1"/>
  <c r="L41" i="14"/>
  <c r="Q41" i="14" s="1"/>
  <c r="S41" i="14" s="1"/>
  <c r="L29" i="14"/>
  <c r="Q29" i="14" s="1"/>
  <c r="S29" i="14" s="1"/>
  <c r="L40" i="14"/>
  <c r="Q40" i="14" s="1"/>
  <c r="S40" i="14" s="1"/>
  <c r="L43" i="14"/>
  <c r="Q43" i="14" s="1"/>
  <c r="S43" i="14" s="1"/>
  <c r="L31" i="14"/>
  <c r="Q31" i="14" s="1"/>
  <c r="S31" i="14" s="1"/>
  <c r="L42" i="14"/>
  <c r="Q42" i="14" s="1"/>
  <c r="S42" i="14" s="1"/>
  <c r="L26" i="14"/>
  <c r="Q26" i="14" s="1"/>
  <c r="S26" i="14" s="1"/>
  <c r="L44" i="14"/>
  <c r="Q44" i="14" s="1"/>
  <c r="S44" i="14" s="1"/>
  <c r="L52" i="14"/>
  <c r="Q52" i="14" s="1"/>
  <c r="S52" i="14" s="1"/>
  <c r="L27" i="14"/>
  <c r="Q27" i="14" s="1"/>
  <c r="S27" i="14" s="1"/>
  <c r="L35" i="14"/>
  <c r="Q35" i="14" s="1"/>
  <c r="S35" i="14" s="1"/>
  <c r="L39" i="14"/>
  <c r="Q39" i="14" s="1"/>
  <c r="S39" i="14" s="1"/>
  <c r="L58" i="14"/>
  <c r="Q58" i="14" s="1"/>
  <c r="S58" i="14" s="1"/>
  <c r="L59" i="14"/>
  <c r="Q59" i="14" s="1"/>
  <c r="S59" i="14" s="1"/>
  <c r="L53" i="14"/>
  <c r="Q53" i="14" s="1"/>
  <c r="S53" i="14" s="1"/>
  <c r="Q54" i="14"/>
  <c r="S54" i="14" s="1"/>
  <c r="BD64" i="14"/>
  <c r="BC64" i="14"/>
  <c r="BE64" i="14"/>
  <c r="BG63" i="14"/>
  <c r="BF63" i="14"/>
  <c r="BK64" i="14"/>
  <c r="BL64" i="14"/>
  <c r="BN63" i="14"/>
  <c r="BC65" i="12"/>
  <c r="BD65" i="12"/>
  <c r="C73" i="13"/>
  <c r="D73" i="13" s="1"/>
  <c r="BK65" i="12"/>
  <c r="BN64" i="12"/>
  <c r="BM65" i="12"/>
  <c r="BO64" i="12"/>
  <c r="E64" i="12" s="1"/>
  <c r="F64" i="12" s="1"/>
  <c r="H62" i="12"/>
  <c r="G63" i="12"/>
  <c r="Q25" i="14" l="1"/>
  <c r="S25" i="14" s="1"/>
  <c r="U25" i="14" s="1"/>
  <c r="BN64" i="14"/>
  <c r="BD65" i="14"/>
  <c r="BC65" i="14"/>
  <c r="BL65" i="14"/>
  <c r="BK65" i="14"/>
  <c r="BE65" i="14"/>
  <c r="BG64" i="14"/>
  <c r="BF64" i="14"/>
  <c r="N25" i="14"/>
  <c r="O25" i="14" s="1"/>
  <c r="M25" i="14"/>
  <c r="I26" i="14" s="1"/>
  <c r="BC66" i="12"/>
  <c r="BD66" i="12"/>
  <c r="D66" i="12" s="1"/>
  <c r="C74" i="13"/>
  <c r="D74" i="13" s="1"/>
  <c r="BM66" i="12"/>
  <c r="BO65" i="12"/>
  <c r="E65" i="12" s="1"/>
  <c r="F65" i="12" s="1"/>
  <c r="BK66" i="12"/>
  <c r="BN65" i="12"/>
  <c r="H63" i="12"/>
  <c r="G64" i="12"/>
  <c r="P25" i="14" l="1"/>
  <c r="BL66" i="14"/>
  <c r="BK66" i="14"/>
  <c r="K26" i="14"/>
  <c r="BE66" i="14"/>
  <c r="BG65" i="14"/>
  <c r="BF65" i="14"/>
  <c r="BN65" i="14"/>
  <c r="BD66" i="14"/>
  <c r="BC66" i="14"/>
  <c r="BA66" i="12"/>
  <c r="BC67" i="12"/>
  <c r="BD67" i="12"/>
  <c r="BA67" i="12" s="1"/>
  <c r="C75" i="13"/>
  <c r="D75" i="13" s="1"/>
  <c r="BK67" i="12"/>
  <c r="BN66" i="12"/>
  <c r="BM67" i="12"/>
  <c r="BO66" i="12"/>
  <c r="E66" i="12" s="1"/>
  <c r="H64" i="12"/>
  <c r="G65" i="12"/>
  <c r="BN66" i="14" l="1"/>
  <c r="BG66" i="14"/>
  <c r="BF66" i="14"/>
  <c r="BE67" i="14"/>
  <c r="BD67" i="14"/>
  <c r="BC67" i="14"/>
  <c r="J26" i="14"/>
  <c r="N26" i="14"/>
  <c r="U26" i="14"/>
  <c r="BL67" i="14"/>
  <c r="BK67" i="14"/>
  <c r="D67" i="12"/>
  <c r="BC68" i="12"/>
  <c r="BD68" i="12"/>
  <c r="BG66" i="12"/>
  <c r="BF66" i="12"/>
  <c r="C76" i="13"/>
  <c r="D76" i="13" s="1"/>
  <c r="BM68" i="12"/>
  <c r="BO67" i="12"/>
  <c r="E67" i="12" s="1"/>
  <c r="F67" i="12" s="1"/>
  <c r="F66" i="12"/>
  <c r="G66" i="12" s="1"/>
  <c r="BK68" i="12"/>
  <c r="BN67" i="12"/>
  <c r="H65" i="12"/>
  <c r="O26" i="14" l="1"/>
  <c r="P26" i="14" s="1"/>
  <c r="BN67" i="14"/>
  <c r="M26" i="14"/>
  <c r="I27" i="14" s="1"/>
  <c r="BD68" i="14"/>
  <c r="BC68" i="14"/>
  <c r="BL68" i="14"/>
  <c r="BK68" i="14"/>
  <c r="BG67" i="14"/>
  <c r="BF67" i="14"/>
  <c r="BE68" i="14"/>
  <c r="D68" i="12"/>
  <c r="BA68" i="12"/>
  <c r="BC69" i="12"/>
  <c r="BD69" i="12"/>
  <c r="D69" i="12" s="1"/>
  <c r="BF67" i="12"/>
  <c r="BG67" i="12"/>
  <c r="C77" i="13"/>
  <c r="D77" i="13" s="1"/>
  <c r="BK69" i="12"/>
  <c r="BN68" i="12"/>
  <c r="BM69" i="12"/>
  <c r="BO68" i="12"/>
  <c r="E68" i="12" s="1"/>
  <c r="F68" i="12" s="1"/>
  <c r="G67" i="12"/>
  <c r="H66" i="12"/>
  <c r="BN68" i="14" l="1"/>
  <c r="BD69" i="14"/>
  <c r="BC69" i="14"/>
  <c r="BL69" i="14"/>
  <c r="BK69" i="14"/>
  <c r="K27" i="14"/>
  <c r="BE69" i="14"/>
  <c r="BG68" i="14"/>
  <c r="BF68" i="14"/>
  <c r="BA69" i="12"/>
  <c r="BC70" i="12"/>
  <c r="BD70" i="12"/>
  <c r="D70" i="12" s="1"/>
  <c r="BG68" i="12"/>
  <c r="BF68" i="12"/>
  <c r="C78" i="13"/>
  <c r="D78" i="13" s="1"/>
  <c r="BM70" i="12"/>
  <c r="BO69" i="12"/>
  <c r="E69" i="12" s="1"/>
  <c r="BK70" i="12"/>
  <c r="BN69" i="12"/>
  <c r="H67" i="12"/>
  <c r="G68" i="12"/>
  <c r="BN69" i="14" l="1"/>
  <c r="BL70" i="14"/>
  <c r="BK70" i="14"/>
  <c r="J27" i="14"/>
  <c r="N27" i="14" s="1"/>
  <c r="O27" i="14" s="1"/>
  <c r="BC70" i="14"/>
  <c r="BD70" i="14"/>
  <c r="U27" i="14"/>
  <c r="BF69" i="14"/>
  <c r="BE70" i="14"/>
  <c r="BG69" i="14"/>
  <c r="BA70" i="12"/>
  <c r="BC71" i="12"/>
  <c r="BD71" i="12"/>
  <c r="BG69" i="12"/>
  <c r="BF69" i="12"/>
  <c r="C79" i="13"/>
  <c r="D79" i="13" s="1"/>
  <c r="BK71" i="12"/>
  <c r="BN70" i="12"/>
  <c r="BM71" i="12"/>
  <c r="BO70" i="12"/>
  <c r="E70" i="12" s="1"/>
  <c r="F69" i="12"/>
  <c r="G69" i="12" s="1"/>
  <c r="H68" i="12"/>
  <c r="BD71" i="14" l="1"/>
  <c r="BC71" i="14"/>
  <c r="P27" i="14"/>
  <c r="BF70" i="14"/>
  <c r="BG70" i="14"/>
  <c r="BE71" i="14"/>
  <c r="M27" i="14"/>
  <c r="I28" i="14" s="1"/>
  <c r="BN70" i="14"/>
  <c r="BK71" i="14"/>
  <c r="BL71" i="14"/>
  <c r="BA71" i="12"/>
  <c r="D71" i="12"/>
  <c r="BD72" i="12"/>
  <c r="BC72" i="12"/>
  <c r="BF70" i="12"/>
  <c r="BG70" i="12"/>
  <c r="C80" i="13"/>
  <c r="D80" i="13" s="1"/>
  <c r="BM72" i="12"/>
  <c r="BO71" i="12"/>
  <c r="E71" i="12" s="1"/>
  <c r="F71" i="12" s="1"/>
  <c r="F70" i="12"/>
  <c r="G70" i="12" s="1"/>
  <c r="BK72" i="12"/>
  <c r="BN71" i="12"/>
  <c r="H69" i="12"/>
  <c r="BE72" i="14" l="1"/>
  <c r="BG71" i="14"/>
  <c r="BF71" i="14"/>
  <c r="BL72" i="14"/>
  <c r="BK72" i="14"/>
  <c r="BN71" i="14"/>
  <c r="K28" i="14"/>
  <c r="BD72" i="14"/>
  <c r="BC72" i="14"/>
  <c r="D72" i="12"/>
  <c r="BA72" i="12"/>
  <c r="BC73" i="12"/>
  <c r="BD73" i="12"/>
  <c r="BA73" i="12" s="1"/>
  <c r="BG71" i="12"/>
  <c r="BF71" i="12"/>
  <c r="C81" i="13"/>
  <c r="D81" i="13"/>
  <c r="BK73" i="12"/>
  <c r="BN72" i="12"/>
  <c r="BM73" i="12"/>
  <c r="BO72" i="12"/>
  <c r="E72" i="12" s="1"/>
  <c r="G71" i="12"/>
  <c r="H70" i="12"/>
  <c r="BN72" i="14" l="1"/>
  <c r="BL73" i="14"/>
  <c r="BK73" i="14"/>
  <c r="U28" i="14"/>
  <c r="BD73" i="14"/>
  <c r="BC73" i="14"/>
  <c r="J28" i="14"/>
  <c r="BE73" i="14"/>
  <c r="BG72" i="14"/>
  <c r="BF72" i="14"/>
  <c r="D73" i="12"/>
  <c r="BC74" i="12"/>
  <c r="BD74" i="12"/>
  <c r="D74" i="12" s="1"/>
  <c r="BG72" i="12"/>
  <c r="BF72" i="12"/>
  <c r="C82" i="13"/>
  <c r="D82" i="13" s="1"/>
  <c r="BM74" i="12"/>
  <c r="BO73" i="12"/>
  <c r="E73" i="12" s="1"/>
  <c r="F73" i="12" s="1"/>
  <c r="F72" i="12"/>
  <c r="G72" i="12" s="1"/>
  <c r="BK74" i="12"/>
  <c r="BN73" i="12"/>
  <c r="H71" i="12"/>
  <c r="BC74" i="14" l="1"/>
  <c r="BD74" i="14"/>
  <c r="M28" i="14"/>
  <c r="I29" i="14" s="1"/>
  <c r="BE74" i="14"/>
  <c r="BF73" i="14"/>
  <c r="BG73" i="14"/>
  <c r="BN73" i="14"/>
  <c r="BL74" i="14"/>
  <c r="BK74" i="14"/>
  <c r="N28" i="14"/>
  <c r="O28" i="14" s="1"/>
  <c r="BA74" i="12"/>
  <c r="BC75" i="12"/>
  <c r="BD75" i="12"/>
  <c r="BA75" i="12" s="1"/>
  <c r="BF73" i="12"/>
  <c r="BG73" i="12"/>
  <c r="BM75" i="12"/>
  <c r="BO74" i="12"/>
  <c r="E74" i="12" s="1"/>
  <c r="C83" i="13"/>
  <c r="D83" i="13" s="1"/>
  <c r="BK75" i="12"/>
  <c r="BN74" i="12"/>
  <c r="G73" i="12"/>
  <c r="H72" i="12"/>
  <c r="BG74" i="14" l="1"/>
  <c r="BF74" i="14"/>
  <c r="BE75" i="14"/>
  <c r="K29" i="14"/>
  <c r="U29" i="14"/>
  <c r="P28" i="14"/>
  <c r="BN74" i="14"/>
  <c r="BD75" i="14"/>
  <c r="BC75" i="14"/>
  <c r="BK75" i="14"/>
  <c r="BL75" i="14"/>
  <c r="D75" i="12"/>
  <c r="BC76" i="12"/>
  <c r="BD76" i="12"/>
  <c r="D76" i="12" s="1"/>
  <c r="BF74" i="12"/>
  <c r="BG74" i="12"/>
  <c r="F74" i="12"/>
  <c r="BM76" i="12"/>
  <c r="BO75" i="12"/>
  <c r="E75" i="12" s="1"/>
  <c r="C84" i="13"/>
  <c r="D84" i="13" s="1"/>
  <c r="BK76" i="12"/>
  <c r="BN75" i="12"/>
  <c r="H73" i="12"/>
  <c r="BN75" i="14" l="1"/>
  <c r="BL76" i="14"/>
  <c r="BK76" i="14"/>
  <c r="J29" i="14"/>
  <c r="N29" i="14" s="1"/>
  <c r="O29" i="14" s="1"/>
  <c r="P29" i="14" s="1"/>
  <c r="BE76" i="14"/>
  <c r="BG75" i="14"/>
  <c r="BF75" i="14"/>
  <c r="BD76" i="14"/>
  <c r="BC76" i="14"/>
  <c r="BA76" i="12"/>
  <c r="BC77" i="12"/>
  <c r="BD77" i="12"/>
  <c r="BF75" i="12"/>
  <c r="BG75" i="12"/>
  <c r="G74" i="12"/>
  <c r="H74" i="12" s="1"/>
  <c r="BM77" i="12"/>
  <c r="BO76" i="12"/>
  <c r="E76" i="12" s="1"/>
  <c r="F75" i="12"/>
  <c r="C85" i="13"/>
  <c r="D85" i="13" s="1"/>
  <c r="BK77" i="12"/>
  <c r="BN76" i="12"/>
  <c r="BN76" i="14" l="1"/>
  <c r="BD77" i="14"/>
  <c r="BC77" i="14"/>
  <c r="BE77" i="14"/>
  <c r="BG76" i="14"/>
  <c r="BF76" i="14"/>
  <c r="M29" i="14"/>
  <c r="I30" i="14" s="1"/>
  <c r="BL77" i="14"/>
  <c r="BK77" i="14"/>
  <c r="BA77" i="12"/>
  <c r="D77" i="12"/>
  <c r="BC78" i="12"/>
  <c r="BD78" i="12"/>
  <c r="BA78" i="12" s="1"/>
  <c r="BF76" i="12"/>
  <c r="BG76" i="12"/>
  <c r="G75" i="12"/>
  <c r="H75" i="12" s="1"/>
  <c r="F76" i="12"/>
  <c r="BM78" i="12"/>
  <c r="BO77" i="12"/>
  <c r="E77" i="12" s="1"/>
  <c r="C86" i="13"/>
  <c r="D86" i="13" s="1"/>
  <c r="BK78" i="12"/>
  <c r="BN77" i="12"/>
  <c r="BL78" i="14" l="1"/>
  <c r="BK78" i="14"/>
  <c r="K30" i="14"/>
  <c r="U30" i="14"/>
  <c r="BF77" i="14"/>
  <c r="BE78" i="14"/>
  <c r="BG77" i="14"/>
  <c r="BN77" i="14"/>
  <c r="BC78" i="14"/>
  <c r="BD78" i="14"/>
  <c r="D78" i="12"/>
  <c r="BC79" i="12"/>
  <c r="BD79" i="12"/>
  <c r="BG77" i="12"/>
  <c r="BF77" i="12"/>
  <c r="G76" i="12"/>
  <c r="H76" i="12"/>
  <c r="F77" i="12"/>
  <c r="G77" i="12" s="1"/>
  <c r="BM79" i="12"/>
  <c r="BO78" i="12"/>
  <c r="E78" i="12" s="1"/>
  <c r="C87" i="13"/>
  <c r="D87" i="13" s="1"/>
  <c r="BK79" i="12"/>
  <c r="BN78" i="12"/>
  <c r="BG78" i="14" l="1"/>
  <c r="BF78" i="14"/>
  <c r="BE79" i="14"/>
  <c r="J30" i="14"/>
  <c r="M30" i="14" s="1"/>
  <c r="I31" i="14" s="1"/>
  <c r="BD79" i="14"/>
  <c r="BC79" i="14"/>
  <c r="BN78" i="14"/>
  <c r="BK79" i="14"/>
  <c r="BL79" i="14"/>
  <c r="D79" i="12"/>
  <c r="BA79" i="12"/>
  <c r="BD80" i="12"/>
  <c r="D80" i="12" s="1"/>
  <c r="BC80" i="12"/>
  <c r="BG78" i="12"/>
  <c r="BF78" i="12"/>
  <c r="H77" i="12"/>
  <c r="BM80" i="12"/>
  <c r="BO79" i="12"/>
  <c r="E79" i="12" s="1"/>
  <c r="F78" i="12"/>
  <c r="G78" i="12" s="1"/>
  <c r="C88" i="13"/>
  <c r="D88" i="13"/>
  <c r="BK80" i="12"/>
  <c r="BN79" i="12"/>
  <c r="N30" i="14" l="1"/>
  <c r="O30" i="14" s="1"/>
  <c r="P30" i="14" s="1"/>
  <c r="BD80" i="14"/>
  <c r="BC80" i="14"/>
  <c r="U31" i="14"/>
  <c r="K31" i="14"/>
  <c r="BE80" i="14"/>
  <c r="BG79" i="14"/>
  <c r="BF79" i="14"/>
  <c r="BL80" i="14"/>
  <c r="BK80" i="14"/>
  <c r="BN79" i="14"/>
  <c r="BA80" i="12"/>
  <c r="BC81" i="12"/>
  <c r="BD81" i="12"/>
  <c r="D81" i="12" s="1"/>
  <c r="BF79" i="12"/>
  <c r="BG79" i="12"/>
  <c r="H78" i="12"/>
  <c r="F79" i="12"/>
  <c r="G79" i="12" s="1"/>
  <c r="BM81" i="12"/>
  <c r="BO80" i="12"/>
  <c r="E80" i="12" s="1"/>
  <c r="C89" i="13"/>
  <c r="D89" i="13" s="1"/>
  <c r="BK81" i="12"/>
  <c r="BN80" i="12"/>
  <c r="BE81" i="14" l="1"/>
  <c r="BG80" i="14"/>
  <c r="BF80" i="14"/>
  <c r="J31" i="14"/>
  <c r="M31" i="14" s="1"/>
  <c r="I32" i="14" s="1"/>
  <c r="BN80" i="14"/>
  <c r="BL81" i="14"/>
  <c r="BK81" i="14"/>
  <c r="BD81" i="14"/>
  <c r="BC81" i="14"/>
  <c r="BA81" i="12"/>
  <c r="BC82" i="12"/>
  <c r="BD82" i="12"/>
  <c r="BA82" i="12" s="1"/>
  <c r="BF80" i="12"/>
  <c r="BG80" i="12"/>
  <c r="H79" i="12"/>
  <c r="F80" i="12"/>
  <c r="G80" i="12" s="1"/>
  <c r="BM82" i="12"/>
  <c r="BO81" i="12"/>
  <c r="E81" i="12" s="1"/>
  <c r="C90" i="13"/>
  <c r="D90" i="13" s="1"/>
  <c r="BK82" i="12"/>
  <c r="BN81" i="12"/>
  <c r="BN81" i="14" l="1"/>
  <c r="N31" i="14"/>
  <c r="O31" i="14" s="1"/>
  <c r="P31" i="14" s="1"/>
  <c r="U32" i="14"/>
  <c r="K32" i="14"/>
  <c r="BL82" i="14"/>
  <c r="BK82" i="14"/>
  <c r="BC82" i="14"/>
  <c r="BD82" i="14"/>
  <c r="BE82" i="14"/>
  <c r="BF81" i="14"/>
  <c r="BG81" i="14"/>
  <c r="D82" i="12"/>
  <c r="BC83" i="12"/>
  <c r="BD83" i="12"/>
  <c r="D83" i="12" s="1"/>
  <c r="BG81" i="12"/>
  <c r="BF81" i="12"/>
  <c r="H80" i="12"/>
  <c r="F81" i="12"/>
  <c r="G81" i="12" s="1"/>
  <c r="BM83" i="12"/>
  <c r="BO82" i="12"/>
  <c r="E82" i="12" s="1"/>
  <c r="C91" i="13"/>
  <c r="D91" i="13" s="1"/>
  <c r="BK83" i="12"/>
  <c r="BN82" i="12"/>
  <c r="BK83" i="14" l="1"/>
  <c r="BL83" i="14"/>
  <c r="BD83" i="14"/>
  <c r="BC83" i="14"/>
  <c r="BN82" i="14"/>
  <c r="J32" i="14"/>
  <c r="M32" i="14" s="1"/>
  <c r="I33" i="14" s="1"/>
  <c r="BG82" i="14"/>
  <c r="BF82" i="14"/>
  <c r="BE83" i="14"/>
  <c r="BA83" i="12"/>
  <c r="BC84" i="12"/>
  <c r="BD84" i="12"/>
  <c r="BF82" i="12"/>
  <c r="BG82" i="12"/>
  <c r="H81" i="12"/>
  <c r="F82" i="12"/>
  <c r="G82" i="12" s="1"/>
  <c r="BM84" i="12"/>
  <c r="BO83" i="12"/>
  <c r="E83" i="12" s="1"/>
  <c r="C92" i="13"/>
  <c r="D92" i="13" s="1"/>
  <c r="BK84" i="12"/>
  <c r="BN83" i="12"/>
  <c r="N32" i="14" l="1"/>
  <c r="O32" i="14" s="1"/>
  <c r="P32" i="14" s="1"/>
  <c r="BD84" i="14"/>
  <c r="BC84" i="14"/>
  <c r="U33" i="14"/>
  <c r="K33" i="14"/>
  <c r="BE84" i="14"/>
  <c r="BG83" i="14"/>
  <c r="BF83" i="14"/>
  <c r="BL84" i="14"/>
  <c r="BK84" i="14"/>
  <c r="BN83" i="14"/>
  <c r="BA84" i="12"/>
  <c r="D84" i="12"/>
  <c r="BC85" i="12"/>
  <c r="BD85" i="12"/>
  <c r="D85" i="12" s="1"/>
  <c r="BF83" i="12"/>
  <c r="BG83" i="12"/>
  <c r="H82" i="12"/>
  <c r="F83" i="12"/>
  <c r="G83" i="12" s="1"/>
  <c r="BM85" i="12"/>
  <c r="BO84" i="12"/>
  <c r="E84" i="12" s="1"/>
  <c r="C93" i="13"/>
  <c r="D93" i="13" s="1"/>
  <c r="BK85" i="12"/>
  <c r="BN84" i="12"/>
  <c r="BE85" i="14" l="1"/>
  <c r="BG84" i="14"/>
  <c r="BF84" i="14"/>
  <c r="J33" i="14"/>
  <c r="M33" i="14" s="1"/>
  <c r="I34" i="14" s="1"/>
  <c r="BN84" i="14"/>
  <c r="BL85" i="14"/>
  <c r="BK85" i="14"/>
  <c r="BD85" i="14"/>
  <c r="BC85" i="14"/>
  <c r="BA85" i="12"/>
  <c r="BG84" i="12"/>
  <c r="BF84" i="12"/>
  <c r="H83" i="12"/>
  <c r="F84" i="12"/>
  <c r="G84" i="12" s="1"/>
  <c r="BM86" i="12"/>
  <c r="BO85" i="12"/>
  <c r="E85" i="12" s="1"/>
  <c r="C94" i="13"/>
  <c r="D94" i="13" s="1"/>
  <c r="BK86" i="12"/>
  <c r="BN85" i="12"/>
  <c r="N33" i="14" l="1"/>
  <c r="O33" i="14" s="1"/>
  <c r="P33" i="14" s="1"/>
  <c r="U34" i="14"/>
  <c r="K34" i="14"/>
  <c r="BN85" i="14"/>
  <c r="BL86" i="14"/>
  <c r="BK86" i="14"/>
  <c r="BC86" i="14"/>
  <c r="BD86" i="14"/>
  <c r="BF85" i="14"/>
  <c r="BE86" i="14"/>
  <c r="BG85" i="14"/>
  <c r="BD86" i="12"/>
  <c r="BC86" i="12"/>
  <c r="BE86" i="12"/>
  <c r="BF85" i="12"/>
  <c r="BG85" i="12"/>
  <c r="BM87" i="12"/>
  <c r="BO86" i="12"/>
  <c r="E86" i="12" s="1"/>
  <c r="F86" i="12" s="1"/>
  <c r="H84" i="12"/>
  <c r="F85" i="12"/>
  <c r="C95" i="13"/>
  <c r="D95" i="13" s="1"/>
  <c r="BK87" i="12"/>
  <c r="BN86" i="12"/>
  <c r="BN86" i="14" l="1"/>
  <c r="BK87" i="14"/>
  <c r="BL87" i="14"/>
  <c r="J34" i="14"/>
  <c r="M34" i="14" s="1"/>
  <c r="I35" i="14" s="1"/>
  <c r="BG86" i="14"/>
  <c r="BF86" i="14"/>
  <c r="BE87" i="14"/>
  <c r="BD87" i="14"/>
  <c r="BC87" i="14"/>
  <c r="D86" i="12"/>
  <c r="BA86" i="12"/>
  <c r="BB86" i="12" s="1"/>
  <c r="BE87" i="12"/>
  <c r="BG86" i="12"/>
  <c r="BF86" i="12"/>
  <c r="BC87" i="12"/>
  <c r="BD87" i="12"/>
  <c r="BM88" i="12"/>
  <c r="BO87" i="12"/>
  <c r="E87" i="12" s="1"/>
  <c r="F87" i="12" s="1"/>
  <c r="G85" i="12"/>
  <c r="C96" i="13"/>
  <c r="D96" i="13" s="1"/>
  <c r="BK88" i="12"/>
  <c r="BN87" i="12"/>
  <c r="BD88" i="14" l="1"/>
  <c r="BC88" i="14"/>
  <c r="BE88" i="14"/>
  <c r="BG87" i="14"/>
  <c r="BF87" i="14"/>
  <c r="N34" i="14"/>
  <c r="O34" i="14" s="1"/>
  <c r="P34" i="14" s="1"/>
  <c r="K35" i="14"/>
  <c r="U35" i="14"/>
  <c r="BL88" i="14"/>
  <c r="BK88" i="14"/>
  <c r="BN87" i="14"/>
  <c r="BM89" i="12"/>
  <c r="BO88" i="12"/>
  <c r="BA87" i="12"/>
  <c r="BB87" i="12" s="1"/>
  <c r="D87" i="12"/>
  <c r="BC88" i="12"/>
  <c r="BD88" i="12"/>
  <c r="BG87" i="12"/>
  <c r="BE88" i="12"/>
  <c r="BF87" i="12"/>
  <c r="H85" i="12"/>
  <c r="G86" i="12"/>
  <c r="C97" i="13"/>
  <c r="D97" i="13" s="1"/>
  <c r="BK89" i="12"/>
  <c r="BN88" i="12"/>
  <c r="BN88" i="14" l="1"/>
  <c r="J35" i="14"/>
  <c r="M35" i="14" s="1"/>
  <c r="I36" i="14" s="1"/>
  <c r="BE89" i="14"/>
  <c r="BG88" i="14"/>
  <c r="BF88" i="14"/>
  <c r="BL89" i="14"/>
  <c r="BK89" i="14"/>
  <c r="BD89" i="14"/>
  <c r="BC89" i="14"/>
  <c r="BM90" i="12"/>
  <c r="BO89" i="12"/>
  <c r="BA88" i="12"/>
  <c r="BB88" i="12" s="1"/>
  <c r="D88" i="12"/>
  <c r="BG88" i="12"/>
  <c r="BE89" i="12"/>
  <c r="BF88" i="12"/>
  <c r="E88" i="12" s="1"/>
  <c r="F88" i="12" s="1"/>
  <c r="BC89" i="12"/>
  <c r="BD89" i="12"/>
  <c r="H86" i="12"/>
  <c r="G87" i="12"/>
  <c r="C98" i="13"/>
  <c r="D98" i="13" s="1"/>
  <c r="BK90" i="12"/>
  <c r="BN89" i="12"/>
  <c r="BN89" i="14" l="1"/>
  <c r="N35" i="14"/>
  <c r="O35" i="14" s="1"/>
  <c r="P35" i="14" s="1"/>
  <c r="BL90" i="14"/>
  <c r="BK90" i="14"/>
  <c r="BE90" i="14"/>
  <c r="BF89" i="14"/>
  <c r="BG89" i="14"/>
  <c r="BC90" i="14"/>
  <c r="BD90" i="14"/>
  <c r="K36" i="14"/>
  <c r="U36" i="14"/>
  <c r="BA89" i="12"/>
  <c r="BB89" i="12" s="1"/>
  <c r="D89" i="12"/>
  <c r="H87" i="12"/>
  <c r="G88" i="12"/>
  <c r="BM91" i="12"/>
  <c r="BO90" i="12"/>
  <c r="BD90" i="12"/>
  <c r="BC90" i="12"/>
  <c r="BE90" i="12"/>
  <c r="BG89" i="12"/>
  <c r="BF89" i="12"/>
  <c r="E89" i="12" s="1"/>
  <c r="F89" i="12" s="1"/>
  <c r="C99" i="13"/>
  <c r="D99" i="13" s="1"/>
  <c r="BK91" i="12"/>
  <c r="BN90" i="12"/>
  <c r="BN90" i="14" l="1"/>
  <c r="J36" i="14"/>
  <c r="M36" i="14" s="1"/>
  <c r="I37" i="14" s="1"/>
  <c r="BD91" i="14"/>
  <c r="BC91" i="14"/>
  <c r="BG90" i="14"/>
  <c r="BF90" i="14"/>
  <c r="BE91" i="14"/>
  <c r="BK91" i="14"/>
  <c r="BL91" i="14"/>
  <c r="BM92" i="12"/>
  <c r="BO91" i="12"/>
  <c r="H88" i="12"/>
  <c r="G89" i="12"/>
  <c r="D90" i="12"/>
  <c r="BA90" i="12"/>
  <c r="BB90" i="12" s="1"/>
  <c r="BG90" i="12"/>
  <c r="BF90" i="12"/>
  <c r="E90" i="12" s="1"/>
  <c r="F90" i="12" s="1"/>
  <c r="BE91" i="12"/>
  <c r="BC91" i="12"/>
  <c r="BD91" i="12"/>
  <c r="C100" i="13"/>
  <c r="D100" i="13" s="1"/>
  <c r="BK92" i="12"/>
  <c r="BN91" i="12"/>
  <c r="BN91" i="14" l="1"/>
  <c r="N36" i="14"/>
  <c r="O36" i="14" s="1"/>
  <c r="P36" i="14" s="1"/>
  <c r="BD92" i="14"/>
  <c r="BC92" i="14"/>
  <c r="BE92" i="14"/>
  <c r="BG91" i="14"/>
  <c r="BF91" i="14"/>
  <c r="BL92" i="14"/>
  <c r="BK92" i="14"/>
  <c r="K37" i="14"/>
  <c r="U37" i="14"/>
  <c r="H89" i="12"/>
  <c r="G90" i="12"/>
  <c r="D91" i="12"/>
  <c r="BA91" i="12"/>
  <c r="BB91" i="12" s="1"/>
  <c r="BM93" i="12"/>
  <c r="BO92" i="12"/>
  <c r="BC92" i="12"/>
  <c r="BD92" i="12"/>
  <c r="BG91" i="12"/>
  <c r="BF91" i="12"/>
  <c r="E91" i="12" s="1"/>
  <c r="F91" i="12" s="1"/>
  <c r="BE92" i="12"/>
  <c r="BK93" i="12"/>
  <c r="BN92" i="12"/>
  <c r="BN92" i="14" l="1"/>
  <c r="BL93" i="14"/>
  <c r="BK93" i="14"/>
  <c r="BE93" i="14"/>
  <c r="BG92" i="14"/>
  <c r="BF92" i="14"/>
  <c r="J37" i="14"/>
  <c r="M37" i="14" s="1"/>
  <c r="I38" i="14" s="1"/>
  <c r="BD93" i="14"/>
  <c r="BC93" i="14"/>
  <c r="BM94" i="12"/>
  <c r="BO93" i="12"/>
  <c r="H90" i="12"/>
  <c r="G91" i="12"/>
  <c r="D92" i="12"/>
  <c r="BA92" i="12"/>
  <c r="BB92" i="12" s="1"/>
  <c r="BG92" i="12"/>
  <c r="BF92" i="12"/>
  <c r="E92" i="12" s="1"/>
  <c r="F92" i="12" s="1"/>
  <c r="BE93" i="12"/>
  <c r="BC93" i="12"/>
  <c r="BD93" i="12"/>
  <c r="BK94" i="12"/>
  <c r="BN93" i="12"/>
  <c r="N37" i="14" l="1"/>
  <c r="O37" i="14" s="1"/>
  <c r="P37" i="14" s="1"/>
  <c r="BN93" i="14"/>
  <c r="K38" i="14"/>
  <c r="BF93" i="14"/>
  <c r="BE94" i="14"/>
  <c r="BG93" i="14"/>
  <c r="BL94" i="14"/>
  <c r="BK94" i="14"/>
  <c r="BC94" i="14"/>
  <c r="BD94" i="14"/>
  <c r="H91" i="12"/>
  <c r="G92" i="12"/>
  <c r="BA93" i="12"/>
  <c r="BB93" i="12" s="1"/>
  <c r="D93" i="12"/>
  <c r="BM95" i="12"/>
  <c r="BO94" i="12"/>
  <c r="BC94" i="12"/>
  <c r="BD94" i="12"/>
  <c r="BF93" i="12"/>
  <c r="E93" i="12" s="1"/>
  <c r="F93" i="12" s="1"/>
  <c r="BG93" i="12"/>
  <c r="BE94" i="12"/>
  <c r="BK95" i="12"/>
  <c r="BN94" i="12"/>
  <c r="BK95" i="14" l="1"/>
  <c r="BL95" i="14"/>
  <c r="BN94" i="14"/>
  <c r="BG94" i="14"/>
  <c r="BF94" i="14"/>
  <c r="BE95" i="14"/>
  <c r="BD95" i="14"/>
  <c r="BC95" i="14"/>
  <c r="BM96" i="12"/>
  <c r="BO95" i="12"/>
  <c r="BA94" i="12"/>
  <c r="BB94" i="12" s="1"/>
  <c r="D94" i="12"/>
  <c r="G93" i="12"/>
  <c r="H92" i="12"/>
  <c r="BD95" i="12"/>
  <c r="BC95" i="12"/>
  <c r="BE95" i="12"/>
  <c r="BG94" i="12"/>
  <c r="BF94" i="12"/>
  <c r="E94" i="12" s="1"/>
  <c r="F94" i="12" s="1"/>
  <c r="BK96" i="12"/>
  <c r="BN95" i="12"/>
  <c r="L38" i="14" l="1"/>
  <c r="BD96" i="14"/>
  <c r="BC96" i="14"/>
  <c r="BE96" i="14"/>
  <c r="BG95" i="14"/>
  <c r="BF95" i="14"/>
  <c r="BL96" i="14"/>
  <c r="BK96" i="14"/>
  <c r="U39" i="14"/>
  <c r="BN95" i="14"/>
  <c r="G94" i="12"/>
  <c r="H93" i="12"/>
  <c r="BA95" i="12"/>
  <c r="BB95" i="12" s="1"/>
  <c r="D95" i="12"/>
  <c r="BM97" i="12"/>
  <c r="BO96" i="12"/>
  <c r="BG95" i="12"/>
  <c r="BE96" i="12"/>
  <c r="BF95" i="12"/>
  <c r="E95" i="12" s="1"/>
  <c r="F95" i="12" s="1"/>
  <c r="BD96" i="12"/>
  <c r="BC96" i="12"/>
  <c r="BK97" i="12"/>
  <c r="BN96" i="12"/>
  <c r="Q38" i="14" l="1"/>
  <c r="S38" i="14" s="1"/>
  <c r="U38" i="14" s="1"/>
  <c r="J38" i="14"/>
  <c r="M38" i="14" s="1"/>
  <c r="I39" i="14" s="1"/>
  <c r="K39" i="14" s="1"/>
  <c r="J39" i="14" s="1"/>
  <c r="M39" i="14" s="1"/>
  <c r="I40" i="14" s="1"/>
  <c r="BN96" i="14"/>
  <c r="BG96" i="14"/>
  <c r="BF96" i="14"/>
  <c r="BN97" i="12"/>
  <c r="BO97" i="12"/>
  <c r="BA96" i="12"/>
  <c r="BB96" i="12" s="1"/>
  <c r="D96" i="12"/>
  <c r="G95" i="12"/>
  <c r="H94" i="12"/>
  <c r="BC97" i="12"/>
  <c r="BD97" i="12"/>
  <c r="BF96" i="12"/>
  <c r="E96" i="12" s="1"/>
  <c r="F96" i="12" s="1"/>
  <c r="BG96" i="12"/>
  <c r="BE97" i="12"/>
  <c r="N38" i="14" l="1"/>
  <c r="O38" i="14" s="1"/>
  <c r="P38" i="14" s="1"/>
  <c r="N39" i="14"/>
  <c r="K40" i="14"/>
  <c r="U40" i="14"/>
  <c r="G96" i="12"/>
  <c r="H95" i="12"/>
  <c r="D97" i="12"/>
  <c r="BA97" i="12"/>
  <c r="BB97" i="12" s="1"/>
  <c r="BG97" i="12"/>
  <c r="BF97" i="12"/>
  <c r="E97" i="12" s="1"/>
  <c r="F97" i="12" s="1"/>
  <c r="F98" i="12" s="1"/>
  <c r="O39" i="14" l="1"/>
  <c r="P39" i="14" s="1"/>
  <c r="J40" i="14"/>
  <c r="M40" i="14" s="1"/>
  <c r="I41" i="14" s="1"/>
  <c r="G97" i="12"/>
  <c r="H97" i="12" s="1"/>
  <c r="H96" i="12"/>
  <c r="N40" i="14" l="1"/>
  <c r="O40" i="14" s="1"/>
  <c r="P40" i="14" s="1"/>
  <c r="U41" i="14"/>
  <c r="K41" i="14"/>
  <c r="H98" i="12"/>
  <c r="L86" i="12" s="1"/>
  <c r="L88" i="12"/>
  <c r="L90" i="12"/>
  <c r="L91" i="12"/>
  <c r="L95" i="12"/>
  <c r="L96" i="12"/>
  <c r="L92" i="12"/>
  <c r="L93" i="12"/>
  <c r="L94" i="12"/>
  <c r="L76" i="12"/>
  <c r="Q76" i="12" s="1"/>
  <c r="L78" i="12"/>
  <c r="Q78" i="12" s="1"/>
  <c r="L64" i="12"/>
  <c r="Q64" i="12" s="1"/>
  <c r="L79" i="12"/>
  <c r="Q79" i="12" s="1"/>
  <c r="L70" i="12"/>
  <c r="Q70" i="12" s="1"/>
  <c r="L74" i="12"/>
  <c r="Q74" i="12" s="1"/>
  <c r="L62" i="12"/>
  <c r="Q62" i="12" s="1"/>
  <c r="L75" i="12"/>
  <c r="Q75" i="12" s="1"/>
  <c r="L67" i="12"/>
  <c r="Q67" i="12" s="1"/>
  <c r="L80" i="12"/>
  <c r="Q80" i="12" s="1"/>
  <c r="L63" i="12"/>
  <c r="Q63" i="12" s="1"/>
  <c r="L72" i="12"/>
  <c r="Q72" i="12" s="1"/>
  <c r="L66" i="12"/>
  <c r="Q66" i="12" s="1"/>
  <c r="L83" i="12"/>
  <c r="Q83" i="12" s="1"/>
  <c r="L77" i="12"/>
  <c r="Q77" i="12" s="1"/>
  <c r="L84" i="12"/>
  <c r="Q84" i="12" s="1"/>
  <c r="L82" i="12"/>
  <c r="Q82" i="12" s="1"/>
  <c r="L81" i="12"/>
  <c r="Q81" i="12" s="1"/>
  <c r="L69" i="12"/>
  <c r="Q69" i="12" s="1"/>
  <c r="L71" i="12"/>
  <c r="Q71" i="12" s="1"/>
  <c r="L68" i="12"/>
  <c r="Q68" i="12" s="1"/>
  <c r="Q86" i="12"/>
  <c r="L45" i="12" l="1"/>
  <c r="Q45" i="12" s="1"/>
  <c r="L34" i="12"/>
  <c r="Q34" i="12" s="1"/>
  <c r="L38" i="12"/>
  <c r="Q38" i="12" s="1"/>
  <c r="L59" i="12"/>
  <c r="Q59" i="12" s="1"/>
  <c r="L31" i="12"/>
  <c r="Q31" i="12" s="1"/>
  <c r="L46" i="12"/>
  <c r="Q46" i="12" s="1"/>
  <c r="L42" i="12"/>
  <c r="Q42" i="12" s="1"/>
  <c r="L28" i="12"/>
  <c r="Q28" i="12" s="1"/>
  <c r="L58" i="12"/>
  <c r="Q58" i="12" s="1"/>
  <c r="L50" i="12"/>
  <c r="Q50" i="12" s="1"/>
  <c r="L36" i="12"/>
  <c r="Q36" i="12" s="1"/>
  <c r="L53" i="12"/>
  <c r="Q53" i="12" s="1"/>
  <c r="L55" i="12"/>
  <c r="Q55" i="12" s="1"/>
  <c r="L47" i="12"/>
  <c r="Q47" i="12" s="1"/>
  <c r="L48" i="12"/>
  <c r="Q48" i="12" s="1"/>
  <c r="L57" i="12"/>
  <c r="Q57" i="12" s="1"/>
  <c r="L41" i="12"/>
  <c r="Q41" i="12" s="1"/>
  <c r="L29" i="12"/>
  <c r="Q29" i="12" s="1"/>
  <c r="L51" i="12"/>
  <c r="Q51" i="12" s="1"/>
  <c r="L43" i="12"/>
  <c r="Q43" i="12" s="1"/>
  <c r="L44" i="12"/>
  <c r="Q44" i="12" s="1"/>
  <c r="L52" i="12"/>
  <c r="Q52" i="12" s="1"/>
  <c r="L40" i="12"/>
  <c r="Q40" i="12" s="1"/>
  <c r="J41" i="14"/>
  <c r="M41" i="14" s="1"/>
  <c r="I42" i="14" s="1"/>
  <c r="L32" i="12"/>
  <c r="Q32" i="12" s="1"/>
  <c r="L30" i="12"/>
  <c r="Q30" i="12" s="1"/>
  <c r="L54" i="12"/>
  <c r="Q54" i="12" s="1"/>
  <c r="L89" i="12"/>
  <c r="L35" i="12"/>
  <c r="Q35" i="12" s="1"/>
  <c r="L60" i="12"/>
  <c r="Q60" i="12" s="1"/>
  <c r="L56" i="12"/>
  <c r="Q56" i="12" s="1"/>
  <c r="L33" i="12"/>
  <c r="Q33" i="12" s="1"/>
  <c r="Q96" i="12"/>
  <c r="Q95" i="12"/>
  <c r="Q93" i="12"/>
  <c r="Q91" i="12"/>
  <c r="Q90" i="12"/>
  <c r="Q92" i="12"/>
  <c r="Q88" i="12"/>
  <c r="Q94" i="12"/>
  <c r="Q89" i="12"/>
  <c r="U86" i="12"/>
  <c r="N41" i="14" l="1"/>
  <c r="O41" i="14" s="1"/>
  <c r="P41" i="14" s="1"/>
  <c r="U42" i="14"/>
  <c r="K42" i="14"/>
  <c r="U93" i="12"/>
  <c r="U91" i="12"/>
  <c r="U95" i="12"/>
  <c r="U94" i="12"/>
  <c r="U92" i="12"/>
  <c r="U88" i="12"/>
  <c r="U89" i="12"/>
  <c r="U90" i="12"/>
  <c r="U96" i="12"/>
  <c r="L26" i="12"/>
  <c r="J26" i="12" s="1"/>
  <c r="J42" i="14" l="1"/>
  <c r="M42" i="14" s="1"/>
  <c r="I43" i="14" s="1"/>
  <c r="Q26" i="12"/>
  <c r="U26" i="12" s="1"/>
  <c r="N26" i="12"/>
  <c r="O26" i="12" s="1"/>
  <c r="M26" i="12"/>
  <c r="I27" i="12" s="1"/>
  <c r="N42" i="14" l="1"/>
  <c r="O42" i="14" s="1"/>
  <c r="P42" i="14" s="1"/>
  <c r="U43" i="14"/>
  <c r="K43" i="14"/>
  <c r="K27" i="12"/>
  <c r="S27" i="12"/>
  <c r="P26" i="12"/>
  <c r="J43" i="14" l="1"/>
  <c r="M43" i="14" s="1"/>
  <c r="I44" i="14" s="1"/>
  <c r="L27" i="12"/>
  <c r="J27" i="12" s="1"/>
  <c r="M27" i="12" s="1"/>
  <c r="I28" i="12" s="1"/>
  <c r="N43" i="14" l="1"/>
  <c r="O43" i="14" s="1"/>
  <c r="P43" i="14" s="1"/>
  <c r="U44" i="14"/>
  <c r="K44" i="14"/>
  <c r="S28" i="12"/>
  <c r="K28" i="12"/>
  <c r="Q27" i="12"/>
  <c r="J44" i="14" l="1"/>
  <c r="M44" i="14" s="1"/>
  <c r="I45" i="14" s="1"/>
  <c r="J28" i="12"/>
  <c r="U28" i="12"/>
  <c r="U27" i="12"/>
  <c r="N27" i="12"/>
  <c r="O27" i="12" s="1"/>
  <c r="N44" i="14" l="1"/>
  <c r="O44" i="14" s="1"/>
  <c r="P44" i="14" s="1"/>
  <c r="U45" i="14"/>
  <c r="K45" i="14"/>
  <c r="M28" i="12"/>
  <c r="I29" i="12" s="1"/>
  <c r="N28" i="12"/>
  <c r="O28" i="12" s="1"/>
  <c r="P28" i="12" s="1"/>
  <c r="P27" i="12"/>
  <c r="J45" i="14" l="1"/>
  <c r="M45" i="14" s="1"/>
  <c r="I46" i="14" s="1"/>
  <c r="S29" i="12"/>
  <c r="K29" i="12"/>
  <c r="N45" i="14" l="1"/>
  <c r="O45" i="14" s="1"/>
  <c r="P45" i="14" s="1"/>
  <c r="U46" i="14"/>
  <c r="K46" i="14"/>
  <c r="J29" i="12"/>
  <c r="U29" i="12"/>
  <c r="J46" i="14" l="1"/>
  <c r="M46" i="14" s="1"/>
  <c r="I47" i="14" s="1"/>
  <c r="M29" i="12"/>
  <c r="I30" i="12" s="1"/>
  <c r="N29" i="12"/>
  <c r="O29" i="12" s="1"/>
  <c r="N46" i="14" l="1"/>
  <c r="O46" i="14" s="1"/>
  <c r="P46" i="14" s="1"/>
  <c r="U47" i="14"/>
  <c r="K47" i="14"/>
  <c r="P29" i="12"/>
  <c r="S30" i="12"/>
  <c r="K30" i="12"/>
  <c r="J47" i="14" l="1"/>
  <c r="M47" i="14" s="1"/>
  <c r="I48" i="14" s="1"/>
  <c r="J30" i="12"/>
  <c r="U30" i="12"/>
  <c r="N47" i="14" l="1"/>
  <c r="O47" i="14" s="1"/>
  <c r="P47" i="14" s="1"/>
  <c r="K48" i="14"/>
  <c r="U48" i="14"/>
  <c r="M30" i="12"/>
  <c r="I31" i="12" s="1"/>
  <c r="N30" i="12"/>
  <c r="O30" i="12" s="1"/>
  <c r="J48" i="14" l="1"/>
  <c r="M48" i="14" s="1"/>
  <c r="I49" i="14" s="1"/>
  <c r="P30" i="12"/>
  <c r="K31" i="12"/>
  <c r="S31" i="12"/>
  <c r="N48" i="14" l="1"/>
  <c r="O48" i="14" s="1"/>
  <c r="P48" i="14" s="1"/>
  <c r="K49" i="14"/>
  <c r="U49" i="14"/>
  <c r="J31" i="12"/>
  <c r="N31" i="12" s="1"/>
  <c r="O31" i="12" s="1"/>
  <c r="U31" i="12"/>
  <c r="J49" i="14" l="1"/>
  <c r="M49" i="14" s="1"/>
  <c r="I50" i="14" s="1"/>
  <c r="P31" i="12"/>
  <c r="M31" i="12"/>
  <c r="I32" i="12" s="1"/>
  <c r="N49" i="14" l="1"/>
  <c r="O49" i="14" s="1"/>
  <c r="P49" i="14" s="1"/>
  <c r="K50" i="14"/>
  <c r="U50" i="14"/>
  <c r="K32" i="12"/>
  <c r="S32" i="12"/>
  <c r="U32" i="12" s="1"/>
  <c r="J50" i="14" l="1"/>
  <c r="M50" i="14" s="1"/>
  <c r="I51" i="14" s="1"/>
  <c r="J32" i="12"/>
  <c r="M32" i="12" s="1"/>
  <c r="I33" i="12" s="1"/>
  <c r="N50" i="14" l="1"/>
  <c r="O50" i="14" s="1"/>
  <c r="P50" i="14" s="1"/>
  <c r="K51" i="14"/>
  <c r="U51" i="14"/>
  <c r="N32" i="12"/>
  <c r="O32" i="12" s="1"/>
  <c r="P32" i="12" s="1"/>
  <c r="S33" i="12"/>
  <c r="U33" i="12" s="1"/>
  <c r="K33" i="12"/>
  <c r="J51" i="14" l="1"/>
  <c r="M51" i="14" s="1"/>
  <c r="I52" i="14" s="1"/>
  <c r="J33" i="12"/>
  <c r="M33" i="12" s="1"/>
  <c r="I34" i="12" s="1"/>
  <c r="N51" i="14" l="1"/>
  <c r="O51" i="14" s="1"/>
  <c r="P51" i="14" s="1"/>
  <c r="U52" i="14"/>
  <c r="K52" i="14"/>
  <c r="K34" i="12"/>
  <c r="S34" i="12"/>
  <c r="U34" i="12" s="1"/>
  <c r="N33" i="12"/>
  <c r="O33" i="12" s="1"/>
  <c r="P33" i="12" s="1"/>
  <c r="J52" i="14" l="1"/>
  <c r="M52" i="14" s="1"/>
  <c r="I53" i="14" s="1"/>
  <c r="J34" i="12"/>
  <c r="M34" i="12" s="1"/>
  <c r="I35" i="12" s="1"/>
  <c r="N52" i="14" l="1"/>
  <c r="O52" i="14" s="1"/>
  <c r="P52" i="14" s="1"/>
  <c r="K53" i="14"/>
  <c r="U53" i="14"/>
  <c r="K35" i="12"/>
  <c r="S35" i="12"/>
  <c r="U35" i="12" s="1"/>
  <c r="N34" i="12"/>
  <c r="O34" i="12" s="1"/>
  <c r="P34" i="12" s="1"/>
  <c r="J53" i="14" l="1"/>
  <c r="M53" i="14" s="1"/>
  <c r="I54" i="14" s="1"/>
  <c r="J35" i="12"/>
  <c r="M35" i="12" s="1"/>
  <c r="I36" i="12" s="1"/>
  <c r="N53" i="14" l="1"/>
  <c r="O53" i="14" s="1"/>
  <c r="P53" i="14" s="1"/>
  <c r="K54" i="14"/>
  <c r="U54" i="14"/>
  <c r="N35" i="12"/>
  <c r="O35" i="12" s="1"/>
  <c r="P35" i="12" s="1"/>
  <c r="S36" i="12"/>
  <c r="U36" i="12" s="1"/>
  <c r="K36" i="12"/>
  <c r="J54" i="14" l="1"/>
  <c r="M54" i="14" s="1"/>
  <c r="I55" i="14" s="1"/>
  <c r="J36" i="12"/>
  <c r="M36" i="12" s="1"/>
  <c r="I37" i="12" s="1"/>
  <c r="N54" i="14" l="1"/>
  <c r="O54" i="14" s="1"/>
  <c r="P54" i="14" s="1"/>
  <c r="K55" i="14"/>
  <c r="U55" i="14"/>
  <c r="N36" i="12"/>
  <c r="O36" i="12" s="1"/>
  <c r="P36" i="12" s="1"/>
  <c r="S37" i="12"/>
  <c r="K37" i="12"/>
  <c r="J55" i="14" l="1"/>
  <c r="M55" i="14" s="1"/>
  <c r="I56" i="14" s="1"/>
  <c r="L87" i="12"/>
  <c r="N55" i="14" l="1"/>
  <c r="O55" i="14" s="1"/>
  <c r="P55" i="14" s="1"/>
  <c r="U56" i="14"/>
  <c r="K56" i="14"/>
  <c r="Q87" i="12"/>
  <c r="J56" i="14" l="1"/>
  <c r="M56" i="14" s="1"/>
  <c r="I57" i="14" s="1"/>
  <c r="U87" i="12"/>
  <c r="N56" i="14" l="1"/>
  <c r="O56" i="14" s="1"/>
  <c r="P56" i="14" s="1"/>
  <c r="K57" i="14"/>
  <c r="U57" i="14"/>
  <c r="L85" i="12"/>
  <c r="J57" i="14" l="1"/>
  <c r="M57" i="14" s="1"/>
  <c r="I58" i="14" s="1"/>
  <c r="Q85" i="12"/>
  <c r="N57" i="14" l="1"/>
  <c r="O57" i="14" s="1"/>
  <c r="P57" i="14" s="1"/>
  <c r="K58" i="14"/>
  <c r="U58" i="14"/>
  <c r="L49" i="12"/>
  <c r="Q49" i="12" s="1"/>
  <c r="J58" i="14" l="1"/>
  <c r="M58" i="14" s="1"/>
  <c r="I59" i="14" s="1"/>
  <c r="L65" i="12"/>
  <c r="N58" i="14" l="1"/>
  <c r="O58" i="14" s="1"/>
  <c r="P58" i="14" s="1"/>
  <c r="K59" i="14"/>
  <c r="U59" i="14"/>
  <c r="Q65" i="12"/>
  <c r="J59" i="14" l="1"/>
  <c r="M59" i="14" s="1"/>
  <c r="I60" i="14" s="1"/>
  <c r="D27" i="12"/>
  <c r="BA27" i="12"/>
  <c r="BF27" i="12"/>
  <c r="BG27" i="12"/>
  <c r="D28" i="12"/>
  <c r="BA28" i="12"/>
  <c r="BF28" i="12"/>
  <c r="BG28" i="12"/>
  <c r="D29" i="12"/>
  <c r="BA29" i="12"/>
  <c r="BF29" i="12"/>
  <c r="BG29" i="12"/>
  <c r="D30" i="12"/>
  <c r="BA30" i="12"/>
  <c r="BF30" i="12"/>
  <c r="BG30" i="12"/>
  <c r="D31" i="12"/>
  <c r="BA31" i="12"/>
  <c r="BF31" i="12"/>
  <c r="BG31" i="12"/>
  <c r="D32" i="12"/>
  <c r="BA32" i="12"/>
  <c r="BF32" i="12"/>
  <c r="BG32" i="12"/>
  <c r="D33" i="12"/>
  <c r="BA33" i="12"/>
  <c r="BF33" i="12"/>
  <c r="BG33" i="12"/>
  <c r="D34" i="12"/>
  <c r="BA34" i="12"/>
  <c r="BF34" i="12"/>
  <c r="BG34" i="12"/>
  <c r="D35" i="12"/>
  <c r="BA35" i="12"/>
  <c r="BF35" i="12"/>
  <c r="BG35" i="12"/>
  <c r="D36" i="12"/>
  <c r="BA36" i="12"/>
  <c r="BF36" i="12"/>
  <c r="BG36" i="12"/>
  <c r="D37" i="12"/>
  <c r="BA37" i="12"/>
  <c r="BF37" i="12"/>
  <c r="BG37" i="12"/>
  <c r="D38" i="12"/>
  <c r="BA38" i="12"/>
  <c r="BF38" i="12"/>
  <c r="BG38" i="12"/>
  <c r="D39" i="12"/>
  <c r="BA39" i="12"/>
  <c r="BF39" i="12"/>
  <c r="BG39" i="12"/>
  <c r="D40" i="12"/>
  <c r="BA40" i="12"/>
  <c r="BF40" i="12"/>
  <c r="BG40" i="12"/>
  <c r="D41" i="12"/>
  <c r="BA41" i="12"/>
  <c r="BF41" i="12"/>
  <c r="BG41" i="12"/>
  <c r="D42" i="12"/>
  <c r="BA42" i="12"/>
  <c r="BF42" i="12"/>
  <c r="BG42" i="12"/>
  <c r="D43" i="12"/>
  <c r="BA43" i="12"/>
  <c r="BF43" i="12"/>
  <c r="BG43" i="12"/>
  <c r="D44" i="12"/>
  <c r="BA44" i="12"/>
  <c r="BF44" i="12"/>
  <c r="BG44" i="12"/>
  <c r="D45" i="12"/>
  <c r="BA45" i="12"/>
  <c r="BF45" i="12"/>
  <c r="BG45" i="12"/>
  <c r="D46" i="12"/>
  <c r="BA46" i="12"/>
  <c r="BF46" i="12"/>
  <c r="BG46" i="12"/>
  <c r="D47" i="12"/>
  <c r="BA47" i="12"/>
  <c r="BF47" i="12"/>
  <c r="BG47" i="12"/>
  <c r="D48" i="12"/>
  <c r="BA48" i="12"/>
  <c r="BF48" i="12"/>
  <c r="BG48" i="12"/>
  <c r="D49" i="12"/>
  <c r="BA49" i="12"/>
  <c r="BF49" i="12"/>
  <c r="BG49" i="12"/>
  <c r="D50" i="12"/>
  <c r="BA50" i="12"/>
  <c r="BF50" i="12"/>
  <c r="BG50" i="12"/>
  <c r="D51" i="12"/>
  <c r="BA51" i="12"/>
  <c r="BF51" i="12"/>
  <c r="BG51" i="12"/>
  <c r="D52" i="12"/>
  <c r="BA52" i="12"/>
  <c r="BF52" i="12"/>
  <c r="BG52" i="12"/>
  <c r="D53" i="12"/>
  <c r="BA53" i="12"/>
  <c r="BF53" i="12"/>
  <c r="BG53" i="12"/>
  <c r="D54" i="12"/>
  <c r="BA54" i="12"/>
  <c r="BF54" i="12"/>
  <c r="BG54" i="12"/>
  <c r="D55" i="12"/>
  <c r="BA55" i="12"/>
  <c r="BF55" i="12"/>
  <c r="BG55" i="12"/>
  <c r="D56" i="12"/>
  <c r="BA56" i="12"/>
  <c r="BF56" i="12"/>
  <c r="BG56" i="12"/>
  <c r="D57" i="12"/>
  <c r="BA57" i="12"/>
  <c r="BF57" i="12"/>
  <c r="BG57" i="12"/>
  <c r="D58" i="12"/>
  <c r="BA58" i="12"/>
  <c r="BF58" i="12"/>
  <c r="BG58" i="12"/>
  <c r="D59" i="12"/>
  <c r="BA59" i="12"/>
  <c r="BF59" i="12"/>
  <c r="BG59" i="12"/>
  <c r="D60" i="12"/>
  <c r="BA60" i="12"/>
  <c r="BF60" i="12"/>
  <c r="BG60" i="12"/>
  <c r="D61" i="12"/>
  <c r="BA61" i="12"/>
  <c r="BF61" i="12"/>
  <c r="BG61" i="12"/>
  <c r="D62" i="12"/>
  <c r="BA62" i="12"/>
  <c r="BF62" i="12"/>
  <c r="BG62" i="12"/>
  <c r="D63" i="12"/>
  <c r="BA63" i="12"/>
  <c r="BF63" i="12"/>
  <c r="BG63" i="12"/>
  <c r="D64" i="12"/>
  <c r="BA64" i="12"/>
  <c r="BF64" i="12"/>
  <c r="BG64" i="12"/>
  <c r="D65" i="12"/>
  <c r="BA65" i="12"/>
  <c r="BF65" i="12"/>
  <c r="BG65" i="12"/>
  <c r="L37" i="12"/>
  <c r="J37" i="12" s="1"/>
  <c r="M37" i="12" s="1"/>
  <c r="I38" i="12" s="1"/>
  <c r="N59" i="14" l="1"/>
  <c r="O59" i="14" s="1"/>
  <c r="P59" i="14" s="1"/>
  <c r="J60" i="14"/>
  <c r="M60" i="14" s="1"/>
  <c r="K60" i="14"/>
  <c r="K97" i="14" s="1"/>
  <c r="Q37" i="12"/>
  <c r="N37" i="12" s="1"/>
  <c r="O37" i="12" s="1"/>
  <c r="P37" i="12" s="1"/>
  <c r="S38" i="12"/>
  <c r="K38" i="12"/>
  <c r="L60" i="14" l="1"/>
  <c r="J97" i="14"/>
  <c r="U37" i="12"/>
  <c r="J38" i="12"/>
  <c r="N38" i="12" s="1"/>
  <c r="O38" i="12" s="1"/>
  <c r="U38" i="12"/>
  <c r="Q60" i="14" l="1"/>
  <c r="S60" i="14" s="1"/>
  <c r="L97" i="14"/>
  <c r="P38" i="12"/>
  <c r="M38" i="12"/>
  <c r="I39" i="12" s="1"/>
  <c r="S97" i="14" l="1"/>
  <c r="N60" i="14"/>
  <c r="O60" i="14" s="1"/>
  <c r="O97" i="14" s="1"/>
  <c r="U60" i="14"/>
  <c r="S8" i="14" s="1"/>
  <c r="Q97" i="14"/>
  <c r="K39" i="12"/>
  <c r="S39" i="12"/>
  <c r="P60" i="14" l="1"/>
  <c r="P97" i="14" s="1"/>
  <c r="L97" i="12" l="1"/>
  <c r="Q97" i="12" l="1"/>
  <c r="U97" i="12" l="1"/>
  <c r="L73" i="12" l="1"/>
  <c r="Q73" i="12" l="1"/>
  <c r="I62" i="12"/>
  <c r="K62" i="12"/>
  <c r="J62" i="12"/>
  <c r="N62" i="12"/>
  <c r="O62" i="12"/>
  <c r="P62" i="12"/>
  <c r="M62" i="12"/>
  <c r="I63" i="12"/>
  <c r="K63" i="12"/>
  <c r="J63" i="12"/>
  <c r="N63" i="12"/>
  <c r="O63" i="12"/>
  <c r="P63" i="12"/>
  <c r="M63" i="12"/>
  <c r="I64" i="12"/>
  <c r="K64" i="12"/>
  <c r="J64" i="12"/>
  <c r="N64" i="12"/>
  <c r="O64" i="12"/>
  <c r="P64" i="12"/>
  <c r="M64" i="12"/>
  <c r="I65" i="12"/>
  <c r="K65" i="12"/>
  <c r="J65" i="12"/>
  <c r="N65" i="12"/>
  <c r="O65" i="12"/>
  <c r="P65" i="12"/>
  <c r="M65" i="12"/>
  <c r="I66" i="12"/>
  <c r="K66" i="12"/>
  <c r="J66" i="12"/>
  <c r="N66" i="12"/>
  <c r="O66" i="12"/>
  <c r="P66" i="12"/>
  <c r="M66" i="12"/>
  <c r="I67" i="12"/>
  <c r="K67" i="12"/>
  <c r="J67" i="12"/>
  <c r="N67" i="12"/>
  <c r="O67" i="12"/>
  <c r="P67" i="12"/>
  <c r="M67" i="12"/>
  <c r="I68" i="12"/>
  <c r="K68" i="12"/>
  <c r="J68" i="12"/>
  <c r="N68" i="12"/>
  <c r="O68" i="12"/>
  <c r="P68" i="12"/>
  <c r="M68" i="12"/>
  <c r="I69" i="12"/>
  <c r="K69" i="12"/>
  <c r="J69" i="12"/>
  <c r="N69" i="12"/>
  <c r="O69" i="12"/>
  <c r="P69" i="12"/>
  <c r="M69" i="12"/>
  <c r="I70" i="12"/>
  <c r="K70" i="12"/>
  <c r="J70" i="12"/>
  <c r="N70" i="12"/>
  <c r="O70" i="12"/>
  <c r="P70" i="12"/>
  <c r="M70" i="12"/>
  <c r="I71" i="12"/>
  <c r="K71" i="12"/>
  <c r="J71" i="12"/>
  <c r="N71" i="12"/>
  <c r="O71" i="12"/>
  <c r="P71" i="12"/>
  <c r="M71" i="12"/>
  <c r="I72" i="12"/>
  <c r="K72" i="12"/>
  <c r="J72" i="12"/>
  <c r="N72" i="12"/>
  <c r="O72" i="12"/>
  <c r="P72" i="12"/>
  <c r="M72" i="12"/>
  <c r="I73" i="12"/>
  <c r="K73" i="12"/>
  <c r="J73" i="12"/>
  <c r="N73" i="12"/>
  <c r="O73" i="12"/>
  <c r="P73" i="12"/>
  <c r="M73" i="12"/>
  <c r="I74" i="12"/>
  <c r="K74" i="12"/>
  <c r="J74" i="12"/>
  <c r="N74" i="12"/>
  <c r="O74" i="12"/>
  <c r="P74" i="12"/>
  <c r="M74" i="12"/>
  <c r="I75" i="12"/>
  <c r="K75" i="12"/>
  <c r="J75" i="12"/>
  <c r="N75" i="12"/>
  <c r="O75" i="12"/>
  <c r="P75" i="12"/>
  <c r="M75" i="12"/>
  <c r="I76" i="12"/>
  <c r="K76" i="12"/>
  <c r="J76" i="12"/>
  <c r="N76" i="12"/>
  <c r="O76" i="12"/>
  <c r="P76" i="12"/>
  <c r="M76" i="12"/>
  <c r="I77" i="12"/>
  <c r="K77" i="12"/>
  <c r="J77" i="12"/>
  <c r="N77" i="12"/>
  <c r="O77" i="12"/>
  <c r="P77" i="12"/>
  <c r="M77" i="12"/>
  <c r="I78" i="12"/>
  <c r="K78" i="12"/>
  <c r="J78" i="12"/>
  <c r="N78" i="12"/>
  <c r="O78" i="12"/>
  <c r="P78" i="12"/>
  <c r="M78" i="12"/>
  <c r="I79" i="12"/>
  <c r="K79" i="12"/>
  <c r="J79" i="12"/>
  <c r="N79" i="12"/>
  <c r="O79" i="12"/>
  <c r="P79" i="12"/>
  <c r="M79" i="12"/>
  <c r="I80" i="12"/>
  <c r="K80" i="12"/>
  <c r="J80" i="12"/>
  <c r="N80" i="12"/>
  <c r="O80" i="12"/>
  <c r="P80" i="12"/>
  <c r="M80" i="12"/>
  <c r="I81" i="12"/>
  <c r="K81" i="12"/>
  <c r="J81" i="12"/>
  <c r="N81" i="12"/>
  <c r="O81" i="12"/>
  <c r="P81" i="12"/>
  <c r="M81" i="12"/>
  <c r="I82" i="12"/>
  <c r="K82" i="12"/>
  <c r="J82" i="12"/>
  <c r="N82" i="12"/>
  <c r="O82" i="12"/>
  <c r="P82" i="12"/>
  <c r="M82" i="12"/>
  <c r="I83" i="12"/>
  <c r="K83" i="12"/>
  <c r="J83" i="12"/>
  <c r="N83" i="12"/>
  <c r="O83" i="12"/>
  <c r="P83" i="12"/>
  <c r="M83" i="12"/>
  <c r="I84" i="12"/>
  <c r="K84" i="12"/>
  <c r="J84" i="12"/>
  <c r="N84" i="12"/>
  <c r="O84" i="12"/>
  <c r="P84" i="12"/>
  <c r="M84" i="12"/>
  <c r="I85" i="12"/>
  <c r="K85" i="12"/>
  <c r="J85" i="12"/>
  <c r="N85" i="12"/>
  <c r="O85" i="12"/>
  <c r="P85" i="12"/>
  <c r="M85" i="12"/>
  <c r="I86" i="12"/>
  <c r="K86" i="12"/>
  <c r="J86" i="12"/>
  <c r="N86" i="12"/>
  <c r="O86" i="12"/>
  <c r="P86" i="12"/>
  <c r="M86" i="12"/>
  <c r="I87" i="12"/>
  <c r="K87" i="12"/>
  <c r="J87" i="12"/>
  <c r="N87" i="12"/>
  <c r="O87" i="12"/>
  <c r="P87" i="12"/>
  <c r="M87" i="12"/>
  <c r="I88" i="12"/>
  <c r="K88" i="12"/>
  <c r="J88" i="12"/>
  <c r="N88" i="12"/>
  <c r="O88" i="12"/>
  <c r="P88" i="12"/>
  <c r="M88" i="12"/>
  <c r="I89" i="12"/>
  <c r="K89" i="12"/>
  <c r="J89" i="12"/>
  <c r="N89" i="12"/>
  <c r="O89" i="12"/>
  <c r="P89" i="12"/>
  <c r="M89" i="12"/>
  <c r="I90" i="12"/>
  <c r="K90" i="12"/>
  <c r="J90" i="12"/>
  <c r="N90" i="12"/>
  <c r="O90" i="12"/>
  <c r="P90" i="12"/>
  <c r="M90" i="12"/>
  <c r="I91" i="12"/>
  <c r="K91" i="12"/>
  <c r="J91" i="12"/>
  <c r="N91" i="12"/>
  <c r="O91" i="12"/>
  <c r="P91" i="12"/>
  <c r="M91" i="12"/>
  <c r="I92" i="12"/>
  <c r="K92" i="12"/>
  <c r="J92" i="12"/>
  <c r="N92" i="12"/>
  <c r="O92" i="12"/>
  <c r="P92" i="12"/>
  <c r="M92" i="12"/>
  <c r="I93" i="12"/>
  <c r="K93" i="12"/>
  <c r="J93" i="12"/>
  <c r="N93" i="12"/>
  <c r="O93" i="12"/>
  <c r="P93" i="12"/>
  <c r="M93" i="12"/>
  <c r="I94" i="12"/>
  <c r="K94" i="12"/>
  <c r="J94" i="12"/>
  <c r="N94" i="12"/>
  <c r="O94" i="12"/>
  <c r="P94" i="12"/>
  <c r="M94" i="12"/>
  <c r="I95" i="12"/>
  <c r="K95" i="12"/>
  <c r="J95" i="12"/>
  <c r="N95" i="12"/>
  <c r="O95" i="12"/>
  <c r="P95" i="12"/>
  <c r="M95" i="12"/>
  <c r="I96" i="12"/>
  <c r="K96" i="12"/>
  <c r="J96" i="12"/>
  <c r="N96" i="12"/>
  <c r="O96" i="12"/>
  <c r="P96" i="12"/>
  <c r="M96" i="12"/>
  <c r="I97" i="12"/>
  <c r="K97" i="12"/>
  <c r="J97" i="12"/>
  <c r="N97" i="12"/>
  <c r="O97" i="12"/>
  <c r="P97" i="12"/>
  <c r="S62" i="12"/>
  <c r="U62" i="12"/>
  <c r="S63" i="12"/>
  <c r="U63" i="12"/>
  <c r="S64" i="12"/>
  <c r="U64" i="12"/>
  <c r="S65" i="12"/>
  <c r="U65" i="12"/>
  <c r="S66" i="12"/>
  <c r="U66" i="12"/>
  <c r="S67" i="12"/>
  <c r="U67" i="12"/>
  <c r="S68" i="12"/>
  <c r="U68" i="12"/>
  <c r="S69" i="12"/>
  <c r="U69" i="12"/>
  <c r="S70" i="12"/>
  <c r="U70" i="12"/>
  <c r="S71" i="12"/>
  <c r="U71" i="12"/>
  <c r="S72" i="12"/>
  <c r="U72" i="12"/>
  <c r="S73" i="12"/>
  <c r="U73" i="12"/>
  <c r="S74" i="12"/>
  <c r="U74" i="12"/>
  <c r="S75" i="12"/>
  <c r="U75" i="12"/>
  <c r="S76" i="12"/>
  <c r="U76" i="12"/>
  <c r="S77" i="12"/>
  <c r="U77" i="12"/>
  <c r="S78" i="12"/>
  <c r="U78" i="12"/>
  <c r="S79" i="12"/>
  <c r="U79" i="12"/>
  <c r="S80" i="12"/>
  <c r="U80" i="12"/>
  <c r="S81" i="12"/>
  <c r="U81" i="12"/>
  <c r="S82" i="12"/>
  <c r="U82" i="12"/>
  <c r="S83" i="12"/>
  <c r="U83" i="12"/>
  <c r="S84" i="12"/>
  <c r="U84" i="12"/>
  <c r="S85" i="12"/>
  <c r="U85" i="12"/>
  <c r="M97" i="12"/>
  <c r="L39" i="12" l="1"/>
  <c r="J39" i="12" l="1"/>
  <c r="Q39" i="12"/>
  <c r="U39" i="12" l="1"/>
  <c r="N39" i="12"/>
  <c r="O39" i="12" s="1"/>
  <c r="M39" i="12"/>
  <c r="I40" i="12" s="1"/>
  <c r="K40" i="12" l="1"/>
  <c r="S40" i="12"/>
  <c r="P39" i="12"/>
  <c r="J40" i="12" l="1"/>
  <c r="N40" i="12" s="1"/>
  <c r="O40" i="12" s="1"/>
  <c r="U40" i="12"/>
  <c r="P40" i="12" l="1"/>
  <c r="M40" i="12"/>
  <c r="I41" i="12" s="1"/>
  <c r="K41" i="12" l="1"/>
  <c r="S41" i="12"/>
  <c r="U41" i="12" l="1"/>
  <c r="J41" i="12"/>
  <c r="N41" i="12"/>
  <c r="O41" i="12" s="1"/>
  <c r="M41" i="12" l="1"/>
  <c r="I42" i="12" s="1"/>
  <c r="P41" i="12"/>
  <c r="K42" i="12" l="1"/>
  <c r="S42" i="12"/>
  <c r="U42" i="12" l="1"/>
  <c r="J42" i="12"/>
  <c r="N42" i="12" s="1"/>
  <c r="O42" i="12" s="1"/>
  <c r="P42" i="12" l="1"/>
  <c r="M42" i="12"/>
  <c r="I43" i="12" s="1"/>
  <c r="K43" i="12" l="1"/>
  <c r="S43" i="12"/>
  <c r="J43" i="12" l="1"/>
  <c r="N43" i="12" s="1"/>
  <c r="O43" i="12" s="1"/>
  <c r="P43" i="12" s="1"/>
  <c r="U43" i="12"/>
  <c r="M43" i="12" l="1"/>
  <c r="I44" i="12" s="1"/>
  <c r="K44" i="12" l="1"/>
  <c r="S44" i="12"/>
  <c r="J44" i="12" l="1"/>
  <c r="M44" i="12" s="1"/>
  <c r="I45" i="12" s="1"/>
  <c r="U44" i="12"/>
  <c r="S45" i="12" l="1"/>
  <c r="U45" i="12" s="1"/>
  <c r="K45" i="12"/>
  <c r="N44" i="12"/>
  <c r="O44" i="12" s="1"/>
  <c r="P44" i="12" s="1"/>
  <c r="J45" i="12" l="1"/>
  <c r="M45" i="12" s="1"/>
  <c r="I46" i="12" s="1"/>
  <c r="S46" i="12" l="1"/>
  <c r="U46" i="12" s="1"/>
  <c r="K46" i="12"/>
  <c r="N45" i="12"/>
  <c r="O45" i="12" s="1"/>
  <c r="P45" i="12" s="1"/>
  <c r="J46" i="12" l="1"/>
  <c r="M46" i="12" s="1"/>
  <c r="I47" i="12" s="1"/>
  <c r="N46" i="12" l="1"/>
  <c r="O46" i="12" s="1"/>
  <c r="P46" i="12" s="1"/>
  <c r="K47" i="12"/>
  <c r="S47" i="12"/>
  <c r="U47" i="12" s="1"/>
  <c r="J47" i="12" l="1"/>
  <c r="M47" i="12" s="1"/>
  <c r="I48" i="12" s="1"/>
  <c r="K48" i="12" l="1"/>
  <c r="S48" i="12"/>
  <c r="U48" i="12" s="1"/>
  <c r="N47" i="12"/>
  <c r="O47" i="12" s="1"/>
  <c r="P47" i="12" s="1"/>
  <c r="J48" i="12" l="1"/>
  <c r="M48" i="12" s="1"/>
  <c r="I49" i="12" s="1"/>
  <c r="N48" i="12" l="1"/>
  <c r="O48" i="12" s="1"/>
  <c r="P48" i="12" s="1"/>
  <c r="S49" i="12"/>
  <c r="U49" i="12" s="1"/>
  <c r="K49" i="12"/>
  <c r="J49" i="12" l="1"/>
  <c r="M49" i="12" s="1"/>
  <c r="I50" i="12" s="1"/>
  <c r="N49" i="12" l="1"/>
  <c r="O49" i="12" s="1"/>
  <c r="P49" i="12" s="1"/>
  <c r="K50" i="12"/>
  <c r="S50" i="12"/>
  <c r="U50" i="12" s="1"/>
  <c r="J50" i="12" l="1"/>
  <c r="M50" i="12" s="1"/>
  <c r="I51" i="12" s="1"/>
  <c r="N50" i="12" l="1"/>
  <c r="O50" i="12" s="1"/>
  <c r="P50" i="12" s="1"/>
  <c r="K51" i="12"/>
  <c r="S51" i="12"/>
  <c r="U51" i="12" s="1"/>
  <c r="J51" i="12" l="1"/>
  <c r="M51" i="12" s="1"/>
  <c r="I52" i="12" s="1"/>
  <c r="K52" i="12" l="1"/>
  <c r="S52" i="12"/>
  <c r="U52" i="12" s="1"/>
  <c r="N51" i="12"/>
  <c r="O51" i="12" s="1"/>
  <c r="P51" i="12" s="1"/>
  <c r="J52" i="12" l="1"/>
  <c r="M52" i="12" s="1"/>
  <c r="I53" i="12" s="1"/>
  <c r="N52" i="12" l="1"/>
  <c r="O52" i="12" s="1"/>
  <c r="P52" i="12" s="1"/>
  <c r="S53" i="12"/>
  <c r="U53" i="12" s="1"/>
  <c r="K53" i="12"/>
  <c r="J53" i="12" l="1"/>
  <c r="M53" i="12" s="1"/>
  <c r="I54" i="12" s="1"/>
  <c r="S54" i="12" l="1"/>
  <c r="U54" i="12" s="1"/>
  <c r="K54" i="12"/>
  <c r="N53" i="12"/>
  <c r="O53" i="12" s="1"/>
  <c r="P53" i="12" s="1"/>
  <c r="J54" i="12" l="1"/>
  <c r="M54" i="12" s="1"/>
  <c r="I55" i="12" s="1"/>
  <c r="N54" i="12" l="1"/>
  <c r="O54" i="12" s="1"/>
  <c r="P54" i="12" s="1"/>
  <c r="K55" i="12"/>
  <c r="S55" i="12"/>
  <c r="U55" i="12" s="1"/>
  <c r="J55" i="12" l="1"/>
  <c r="M55" i="12" s="1"/>
  <c r="I56" i="12" s="1"/>
  <c r="K56" i="12" l="1"/>
  <c r="S56" i="12"/>
  <c r="U56" i="12" s="1"/>
  <c r="N55" i="12"/>
  <c r="O55" i="12" s="1"/>
  <c r="P55" i="12" s="1"/>
  <c r="J56" i="12" l="1"/>
  <c r="M56" i="12" s="1"/>
  <c r="I57" i="12" s="1"/>
  <c r="N56" i="12" l="1"/>
  <c r="O56" i="12" s="1"/>
  <c r="P56" i="12" s="1"/>
  <c r="K57" i="12"/>
  <c r="S57" i="12"/>
  <c r="U57" i="12" s="1"/>
  <c r="J57" i="12" l="1"/>
  <c r="M57" i="12" s="1"/>
  <c r="I58" i="12" s="1"/>
  <c r="N57" i="12" l="1"/>
  <c r="O57" i="12" s="1"/>
  <c r="P57" i="12" s="1"/>
  <c r="K58" i="12"/>
  <c r="S58" i="12"/>
  <c r="U58" i="12" s="1"/>
  <c r="J58" i="12" l="1"/>
  <c r="M58" i="12" s="1"/>
  <c r="I59" i="12" s="1"/>
  <c r="N58" i="12"/>
  <c r="O58" i="12" s="1"/>
  <c r="P58" i="12" s="1"/>
  <c r="K59" i="12" l="1"/>
  <c r="S59" i="12"/>
  <c r="U59" i="12" s="1"/>
  <c r="J59" i="12" l="1"/>
  <c r="M59" i="12" s="1"/>
  <c r="I60" i="12" s="1"/>
  <c r="N59" i="12" l="1"/>
  <c r="O59" i="12" s="1"/>
  <c r="P59" i="12" s="1"/>
  <c r="K60" i="12"/>
  <c r="S60" i="12"/>
  <c r="U60" i="12" s="1"/>
  <c r="J60" i="12" l="1"/>
  <c r="M60" i="12" s="1"/>
  <c r="I61" i="12" s="1"/>
  <c r="N60" i="12" l="1"/>
  <c r="O60" i="12" s="1"/>
  <c r="P60" i="12" s="1"/>
  <c r="K61" i="12"/>
  <c r="K98" i="12" s="1"/>
  <c r="S61" i="12"/>
  <c r="S98" i="12" s="1"/>
  <c r="J61" i="12"/>
  <c r="L61" i="12" l="1"/>
  <c r="J98" i="12"/>
  <c r="M61" i="12"/>
  <c r="Q61" i="12" l="1"/>
  <c r="L98" i="12"/>
  <c r="N61" i="12" l="1"/>
  <c r="O61" i="12" s="1"/>
  <c r="O98" i="12" s="1"/>
  <c r="U61" i="12"/>
  <c r="S8" i="12" s="1"/>
  <c r="Q98" i="12"/>
  <c r="P61" i="12" l="1"/>
  <c r="P98" i="12" s="1"/>
</calcChain>
</file>

<file path=xl/sharedStrings.xml><?xml version="1.0" encoding="utf-8"?>
<sst xmlns="http://schemas.openxmlformats.org/spreadsheetml/2006/main" count="108" uniqueCount="61">
  <si>
    <t>Cuota</t>
  </si>
  <si>
    <t>Plazo</t>
  </si>
  <si>
    <t>Interés</t>
  </si>
  <si>
    <t>Días</t>
  </si>
  <si>
    <t>Mes</t>
  </si>
  <si>
    <t>Saldo final</t>
  </si>
  <si>
    <t>Amortización</t>
  </si>
  <si>
    <t>Saldo inicial</t>
  </si>
  <si>
    <t>Días Acum</t>
  </si>
  <si>
    <t>CRONOGRAMA AJUSTADO</t>
  </si>
  <si>
    <t>CRONOGRAMA</t>
  </si>
  <si>
    <t>TNA</t>
  </si>
  <si>
    <t>DATOS</t>
  </si>
  <si>
    <t>Dias de Gracia</t>
  </si>
  <si>
    <t xml:space="preserve"> </t>
  </si>
  <si>
    <t>Factor</t>
  </si>
  <si>
    <t>Fecha Primer EECC</t>
  </si>
  <si>
    <t>Importe</t>
  </si>
  <si>
    <t>CALCULO CUOTA FIJA CON PERIODOS VARIABLES (PROPUESTA)</t>
  </si>
  <si>
    <t>#Cuota</t>
  </si>
  <si>
    <t>Dias Acum</t>
  </si>
  <si>
    <t>Saldo</t>
  </si>
  <si>
    <t>1/(1+TNA)^(DIAS ACUM/360)</t>
  </si>
  <si>
    <t>Total</t>
  </si>
  <si>
    <t>DIA</t>
  </si>
  <si>
    <t>INT.DIARIO (INTERES COMPUESTO)</t>
  </si>
  <si>
    <t>INT.ACUMULADO</t>
  </si>
  <si>
    <t>(SALDO+INT.ACUM) * ((1+TNA)^(1/360) - 1)</t>
  </si>
  <si>
    <t>Dia EECC</t>
  </si>
  <si>
    <t>Fecha 1EECC</t>
  </si>
  <si>
    <t>Funcionalidad de Fecha vencimiento fija</t>
  </si>
  <si>
    <t>Funcionalidad activa</t>
  </si>
  <si>
    <t>Día Fecha de Vencimiento</t>
  </si>
  <si>
    <t>Fecha Venc Fija</t>
  </si>
  <si>
    <t>SI</t>
  </si>
  <si>
    <t>Fecha de Transacción</t>
  </si>
  <si>
    <t>Consideraciones:</t>
  </si>
  <si>
    <t>Total Intereses</t>
  </si>
  <si>
    <t>Capital</t>
  </si>
  <si>
    <t>TOTAL</t>
  </si>
  <si>
    <t>Máximo</t>
  </si>
  <si>
    <t>Fecha Primer vencimiento</t>
  </si>
  <si>
    <t>Seguro Desgravamen</t>
  </si>
  <si>
    <t xml:space="preserve">Esta simulación es solo referencial. No constituye declaración ni genera responsabilidad para Scotiabank Perú S.A.A. Las cuotas resultantes son aproximadas de acuerdo a los datos ingresados. La simulación asume que el efectivo/Compra de Deuda se realiza el día de la simulación y el vencimiento de la primera cuota ocurrirá en 30 días posteriores. Si cuenta con un seguro de vida contratado directamente, puede endosarlo a favor de Scotiabank Perú S.A.A., siempre que cumpla las condiciones y características de cobertura requeridas hasta por el monto del saldo adeudado. </t>
  </si>
  <si>
    <t>Vencimiento</t>
  </si>
  <si>
    <t>Cierre Facturación</t>
  </si>
  <si>
    <t>La simulación corresponde únicamente al cronograma de la transacción simulada. En el Estado de Cuenta pueden aplicar comisiones de Envío de Estado de Cuenta Físico, Comisión por Uso de Canal y Gasto por Seguro de Desgravamen sobre el saldo deudor total de la Tarjeta Extralínea.</t>
  </si>
  <si>
    <t>Valor de Cuota</t>
  </si>
  <si>
    <r>
      <t>TCEA</t>
    </r>
    <r>
      <rPr>
        <b/>
        <sz val="11"/>
        <color rgb="FFFF0000"/>
        <rFont val="Calibri"/>
        <family val="2"/>
      </rPr>
      <t>**</t>
    </r>
  </si>
  <si>
    <r>
      <t>Tasa Efectiva Anual</t>
    </r>
    <r>
      <rPr>
        <b/>
        <sz val="11"/>
        <color rgb="FFFF0000"/>
        <rFont val="Calibri"/>
        <family val="2"/>
      </rPr>
      <t>*</t>
    </r>
    <r>
      <rPr>
        <b/>
        <sz val="11"/>
        <rFont val="Calibri"/>
        <family val="2"/>
      </rPr>
      <t xml:space="preserve"> ofrecida</t>
    </r>
  </si>
  <si>
    <r>
      <t xml:space="preserve">Ingrese el Importe: </t>
    </r>
    <r>
      <rPr>
        <b/>
        <sz val="11"/>
        <color rgb="FF0000B0"/>
        <rFont val="Calibri"/>
        <family val="2"/>
      </rPr>
      <t>D.Efectivo/Compra Deuda</t>
    </r>
  </si>
  <si>
    <r>
      <rPr>
        <b/>
        <sz val="10.5"/>
        <color rgb="FFFF0000"/>
        <rFont val="Calibri"/>
        <family val="2"/>
      </rPr>
      <t>*</t>
    </r>
    <r>
      <rPr>
        <sz val="10.5"/>
        <rFont val="Calibri"/>
        <family val="2"/>
      </rPr>
      <t xml:space="preserve"> La Tasa Efectiva Anual asignada es fija, referencial y está sujeta a evaluación crediticia.</t>
    </r>
  </si>
  <si>
    <r>
      <rPr>
        <b/>
        <sz val="10.5"/>
        <color rgb="FFFF0000"/>
        <rFont val="Calibri"/>
        <family val="2"/>
      </rPr>
      <t>**</t>
    </r>
    <r>
      <rPr>
        <sz val="10.5"/>
        <rFont val="Calibri"/>
        <family val="2"/>
      </rPr>
      <t xml:space="preserve"> La TCEA ha sido calculada considerando la transacción simulada, incluyendo el seguro de desgravamen por esta transacción, sin considerar envío de EECC ni uso de canal.</t>
    </r>
  </si>
  <si>
    <t>El Seguro de Desgravamen se calcula en base al saldo capital promedio diario que mantiene tarjeta Extralínea durante el ciclo de facturación. Se aplica una tasa de 0.35% con un importe máximo de S/ 30 y se carga en el Estado de Cuenta.</t>
  </si>
  <si>
    <t>Seguro de Desgravamen</t>
  </si>
  <si>
    <t>No aplica</t>
  </si>
  <si>
    <r>
      <rPr>
        <b/>
        <sz val="10.5"/>
        <color rgb="FFFF0000"/>
        <rFont val="Calibri"/>
        <family val="2"/>
      </rPr>
      <t>**</t>
    </r>
    <r>
      <rPr>
        <sz val="10.5"/>
        <rFont val="Calibri"/>
        <family val="2"/>
      </rPr>
      <t xml:space="preserve"> La TCEA ha sido calculada considerando la transacción simulada sin considerar envío de EECC, uso de canal ni el seguro de desgravamen.</t>
    </r>
  </si>
  <si>
    <t>Esta simulación es solo referencial. No constituye declaración ni genera responsabilidad para Scotiabank Perú S.A.A. Las cuotas resultantes son aproximadas de acuerdo a los datos ingresados. La simulación asume que el efectivo/Compra de Deuda se realiza el día de la simulación y el vencimiento de la primera cuota ocurrirá en 30 días posteriores.</t>
  </si>
  <si>
    <t>La simulación corresponde únicamente al cronograma de la transacción simulada. En el Estado de Cuenta pueden aplicar comisiones de Envío de Estado de Cuenta Físico y Comisión por Uso de Canal sobre el saldo deudor total de la Tarjeta Extralínea.</t>
  </si>
  <si>
    <r>
      <t xml:space="preserve">SIMULADOR DE CUOTAS - TARJETA DE CRÉDITO EXTRALÍNEA
</t>
    </r>
    <r>
      <rPr>
        <b/>
        <u/>
        <sz val="15"/>
        <color rgb="FFFF0000"/>
        <rFont val="Calibri"/>
        <family val="2"/>
      </rPr>
      <t>SIN SEGURO DESGRAVAMEN</t>
    </r>
  </si>
  <si>
    <r>
      <t xml:space="preserve">SIMULADOR DE CUOTAS - TARJETA DE CRÉDITO EXTRALÍNEA
</t>
    </r>
    <r>
      <rPr>
        <b/>
        <u/>
        <sz val="15"/>
        <color rgb="FFFF0000"/>
        <rFont val="Calibri"/>
        <family val="2"/>
      </rPr>
      <t>CON SEGURO DESGRAVAMEN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</si>
</sst>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S/&quot;\ * #,##0.00_-;\-&quot;S/&quot;\ * #,##0.00_-;_-&quot;S/&quot;\ * &quot;-&quot;??_-;_-@_-"/>
    <numFmt numFmtId="164" formatCode="_(* #,##0.00_);_(* \(#,##0.00\);_(* &quot;-&quot;??_);_(@_)"/>
    <numFmt numFmtId="165" formatCode="0.0000%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0.000000000"/>
    <numFmt numFmtId="169" formatCode="0.0000000"/>
    <numFmt numFmtId="170" formatCode="0.0000"/>
    <numFmt numFmtId="171" formatCode="0.000%"/>
  </numFmts>
  <fonts count="3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ERNHARD"/>
    </font>
    <font>
      <sz val="10"/>
      <name val="Helv"/>
    </font>
    <font>
      <sz val="8"/>
      <name val="Helv"/>
    </font>
    <font>
      <sz val="10"/>
      <name val="Arial"/>
      <family val="2"/>
    </font>
    <font>
      <sz val="6"/>
      <color indexed="14"/>
      <name val="CG Times (E1)"/>
    </font>
    <font>
      <sz val="6"/>
      <name val="CG Times (E1)"/>
    </font>
    <font>
      <sz val="8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color indexed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4"/>
      <color theme="3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0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00B0"/>
      <name val="Calibri"/>
      <family val="2"/>
    </font>
    <font>
      <sz val="10.5"/>
      <name val="Calibri"/>
      <family val="2"/>
    </font>
    <font>
      <b/>
      <sz val="10.5"/>
      <color rgb="FFFF0000"/>
      <name val="Calibri"/>
      <family val="2"/>
    </font>
    <font>
      <b/>
      <sz val="15"/>
      <color rgb="FFFF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1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37" fontId="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>
      <alignment horizontal="left"/>
    </xf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5" fillId="0" borderId="0"/>
    <xf numFmtId="0" fontId="23" fillId="0" borderId="0"/>
    <xf numFmtId="44" fontId="29" fillId="0" borderId="0" applyFont="0" applyFill="0" applyBorder="0" applyAlignment="0" applyProtection="0"/>
  </cellStyleXfs>
  <cellXfs count="159">
    <xf numFmtId="0" fontId="0" fillId="0" borderId="0" xfId="0"/>
    <xf numFmtId="0" fontId="14" fillId="0" borderId="0" xfId="0" applyFont="1"/>
    <xf numFmtId="2" fontId="1" fillId="0" borderId="0" xfId="0" applyNumberFormat="1" applyFont="1"/>
    <xf numFmtId="0" fontId="1" fillId="0" borderId="0" xfId="0" applyFont="1"/>
    <xf numFmtId="169" fontId="1" fillId="0" borderId="0" xfId="0" applyNumberFormat="1" applyFont="1"/>
    <xf numFmtId="0" fontId="14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169" fontId="1" fillId="0" borderId="1" xfId="0" applyNumberFormat="1" applyFont="1" applyBorder="1"/>
    <xf numFmtId="2" fontId="1" fillId="0" borderId="1" xfId="0" applyNumberFormat="1" applyFont="1" applyBorder="1"/>
    <xf numFmtId="0" fontId="14" fillId="0" borderId="1" xfId="0" applyFont="1" applyBorder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169" fontId="1" fillId="4" borderId="1" xfId="0" applyNumberFormat="1" applyFont="1" applyFill="1" applyBorder="1"/>
    <xf numFmtId="169" fontId="14" fillId="4" borderId="1" xfId="0" applyNumberFormat="1" applyFont="1" applyFill="1" applyBorder="1"/>
    <xf numFmtId="0" fontId="13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4" fontId="11" fillId="0" borderId="0" xfId="0" applyNumberFormat="1" applyFont="1" applyAlignment="1" applyProtection="1">
      <alignment horizontal="center"/>
      <protection hidden="1"/>
    </xf>
    <xf numFmtId="14" fontId="11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4" fontId="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10" fontId="9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5" borderId="5" xfId="0" applyFont="1" applyFill="1" applyBorder="1" applyAlignment="1" applyProtection="1">
      <alignment horizontal="center"/>
      <protection hidden="1"/>
    </xf>
    <xf numFmtId="0" fontId="10" fillId="5" borderId="6" xfId="0" applyFont="1" applyFill="1" applyBorder="1" applyAlignment="1" applyProtection="1">
      <alignment horizontal="center"/>
      <protection hidden="1"/>
    </xf>
    <xf numFmtId="0" fontId="10" fillId="5" borderId="7" xfId="0" applyFont="1" applyFill="1" applyBorder="1" applyAlignment="1" applyProtection="1">
      <alignment horizontal="center"/>
      <protection hidden="1"/>
    </xf>
    <xf numFmtId="0" fontId="10" fillId="5" borderId="8" xfId="0" applyFont="1" applyFill="1" applyBorder="1" applyAlignment="1" applyProtection="1">
      <alignment horizontal="center"/>
      <protection hidden="1"/>
    </xf>
    <xf numFmtId="0" fontId="10" fillId="5" borderId="9" xfId="0" applyFont="1" applyFill="1" applyBorder="1" applyAlignment="1" applyProtection="1">
      <alignment horizontal="center"/>
      <protection hidden="1"/>
    </xf>
    <xf numFmtId="0" fontId="10" fillId="5" borderId="13" xfId="0" applyFont="1" applyFill="1" applyBorder="1" applyAlignment="1" applyProtection="1">
      <alignment horizontal="center"/>
      <protection hidden="1"/>
    </xf>
    <xf numFmtId="0" fontId="21" fillId="0" borderId="14" xfId="0" applyFont="1" applyBorder="1" applyAlignment="1" applyProtection="1">
      <alignment horizontal="center"/>
      <protection hidden="1"/>
    </xf>
    <xf numFmtId="14" fontId="21" fillId="0" borderId="1" xfId="0" applyNumberFormat="1" applyFont="1" applyBorder="1" applyAlignment="1" applyProtection="1">
      <alignment horizontal="center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168" fontId="21" fillId="0" borderId="1" xfId="0" applyNumberFormat="1" applyFont="1" applyBorder="1" applyAlignment="1" applyProtection="1">
      <alignment horizontal="center"/>
      <protection hidden="1"/>
    </xf>
    <xf numFmtId="4" fontId="21" fillId="0" borderId="1" xfId="0" applyNumberFormat="1" applyFont="1" applyBorder="1" applyAlignment="1" applyProtection="1">
      <alignment horizontal="center"/>
      <protection hidden="1"/>
    </xf>
    <xf numFmtId="4" fontId="21" fillId="0" borderId="15" xfId="0" applyNumberFormat="1" applyFont="1" applyBorder="1" applyAlignment="1" applyProtection="1">
      <alignment horizontal="center"/>
      <protection hidden="1"/>
    </xf>
    <xf numFmtId="4" fontId="21" fillId="0" borderId="9" xfId="0" applyNumberFormat="1" applyFont="1" applyBorder="1" applyAlignment="1" applyProtection="1">
      <alignment horizontal="center"/>
      <protection hidden="1"/>
    </xf>
    <xf numFmtId="4" fontId="21" fillId="0" borderId="14" xfId="0" applyNumberFormat="1" applyFont="1" applyBorder="1" applyAlignment="1" applyProtection="1">
      <alignment horizontal="center"/>
      <protection hidden="1"/>
    </xf>
    <xf numFmtId="4" fontId="21" fillId="0" borderId="16" xfId="0" applyNumberFormat="1" applyFont="1" applyBorder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4" fontId="21" fillId="0" borderId="17" xfId="0" applyNumberFormat="1" applyFont="1" applyBorder="1" applyAlignment="1" applyProtection="1">
      <alignment horizontal="center"/>
      <protection hidden="1"/>
    </xf>
    <xf numFmtId="4" fontId="9" fillId="0" borderId="0" xfId="0" applyNumberFormat="1" applyFont="1" applyProtection="1">
      <protection hidden="1"/>
    </xf>
    <xf numFmtId="0" fontId="21" fillId="0" borderId="18" xfId="0" applyFont="1" applyBorder="1" applyAlignment="1" applyProtection="1">
      <alignment horizontal="center"/>
      <protection hidden="1"/>
    </xf>
    <xf numFmtId="3" fontId="21" fillId="0" borderId="19" xfId="0" applyNumberFormat="1" applyFont="1" applyBorder="1" applyAlignment="1" applyProtection="1">
      <alignment horizontal="center"/>
      <protection hidden="1"/>
    </xf>
    <xf numFmtId="4" fontId="21" fillId="0" borderId="20" xfId="0" applyNumberFormat="1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/>
      <protection hidden="1"/>
    </xf>
    <xf numFmtId="3" fontId="22" fillId="0" borderId="23" xfId="0" applyNumberFormat="1" applyFont="1" applyBorder="1" applyAlignment="1" applyProtection="1">
      <alignment horizontal="center"/>
      <protection hidden="1"/>
    </xf>
    <xf numFmtId="0" fontId="22" fillId="3" borderId="23" xfId="0" applyFont="1" applyFill="1" applyBorder="1" applyAlignment="1" applyProtection="1">
      <alignment horizontal="center"/>
      <protection hidden="1"/>
    </xf>
    <xf numFmtId="170" fontId="22" fillId="0" borderId="23" xfId="0" applyNumberFormat="1" applyFont="1" applyBorder="1" applyAlignment="1" applyProtection="1">
      <alignment horizontal="center"/>
      <protection hidden="1"/>
    </xf>
    <xf numFmtId="4" fontId="22" fillId="3" borderId="23" xfId="0" applyNumberFormat="1" applyFont="1" applyFill="1" applyBorder="1" applyAlignment="1" applyProtection="1">
      <alignment horizontal="center"/>
      <protection hidden="1"/>
    </xf>
    <xf numFmtId="4" fontId="22" fillId="0" borderId="23" xfId="0" applyNumberFormat="1" applyFont="1" applyBorder="1" applyAlignment="1" applyProtection="1">
      <alignment horizontal="center"/>
      <protection hidden="1"/>
    </xf>
    <xf numFmtId="4" fontId="21" fillId="3" borderId="24" xfId="0" applyNumberFormat="1" applyFont="1" applyFill="1" applyBorder="1" applyAlignment="1" applyProtection="1">
      <alignment horizontal="center"/>
      <protection hidden="1"/>
    </xf>
    <xf numFmtId="4" fontId="21" fillId="3" borderId="0" xfId="0" applyNumberFormat="1" applyFont="1" applyFill="1" applyAlignment="1" applyProtection="1">
      <alignment horizontal="center"/>
      <protection hidden="1"/>
    </xf>
    <xf numFmtId="4" fontId="22" fillId="0" borderId="21" xfId="0" applyNumberFormat="1" applyFont="1" applyBorder="1" applyAlignment="1" applyProtection="1">
      <alignment horizontal="center"/>
      <protection hidden="1"/>
    </xf>
    <xf numFmtId="4" fontId="22" fillId="0" borderId="24" xfId="0" applyNumberFormat="1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4" fontId="19" fillId="0" borderId="0" xfId="0" applyNumberFormat="1" applyFont="1" applyProtection="1">
      <protection hidden="1"/>
    </xf>
    <xf numFmtId="14" fontId="27" fillId="0" borderId="0" xfId="0" applyNumberFormat="1" applyFont="1" applyProtection="1">
      <protection hidden="1"/>
    </xf>
    <xf numFmtId="4" fontId="28" fillId="3" borderId="23" xfId="0" applyNumberFormat="1" applyFont="1" applyFill="1" applyBorder="1" applyAlignment="1" applyProtection="1">
      <alignment horizontal="center"/>
      <protection hidden="1"/>
    </xf>
    <xf numFmtId="0" fontId="16" fillId="0" borderId="23" xfId="0" applyFont="1" applyBorder="1" applyProtection="1">
      <protection hidden="1"/>
    </xf>
    <xf numFmtId="0" fontId="16" fillId="0" borderId="25" xfId="0" applyFont="1" applyBorder="1" applyProtection="1"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1" fillId="0" borderId="19" xfId="0" applyFont="1" applyBorder="1" applyAlignment="1" applyProtection="1">
      <alignment horizontal="center"/>
      <protection hidden="1"/>
    </xf>
    <xf numFmtId="14" fontId="21" fillId="0" borderId="19" xfId="0" applyNumberFormat="1" applyFont="1" applyBorder="1" applyAlignment="1" applyProtection="1">
      <alignment horizontal="center"/>
      <protection hidden="1"/>
    </xf>
    <xf numFmtId="0" fontId="21" fillId="7" borderId="0" xfId="0" applyFont="1" applyFill="1" applyProtection="1">
      <protection hidden="1"/>
    </xf>
    <xf numFmtId="0" fontId="16" fillId="0" borderId="29" xfId="0" applyFont="1" applyBorder="1" applyProtection="1">
      <protection hidden="1"/>
    </xf>
    <xf numFmtId="0" fontId="16" fillId="0" borderId="30" xfId="0" applyFont="1" applyBorder="1" applyProtection="1">
      <protection hidden="1"/>
    </xf>
    <xf numFmtId="0" fontId="16" fillId="0" borderId="31" xfId="0" applyFont="1" applyBorder="1" applyProtection="1">
      <protection hidden="1"/>
    </xf>
    <xf numFmtId="3" fontId="21" fillId="0" borderId="32" xfId="0" applyNumberFormat="1" applyFont="1" applyBorder="1" applyAlignment="1" applyProtection="1">
      <alignment horizontal="center"/>
      <protection hidden="1"/>
    </xf>
    <xf numFmtId="3" fontId="21" fillId="0" borderId="33" xfId="0" applyNumberFormat="1" applyFont="1" applyBorder="1" applyAlignment="1" applyProtection="1">
      <alignment horizontal="center"/>
      <protection hidden="1"/>
    </xf>
    <xf numFmtId="0" fontId="21" fillId="0" borderId="7" xfId="0" applyFont="1" applyBorder="1" applyAlignment="1" applyProtection="1">
      <alignment horizontal="center"/>
      <protection hidden="1"/>
    </xf>
    <xf numFmtId="14" fontId="21" fillId="0" borderId="7" xfId="0" applyNumberFormat="1" applyFont="1" applyBorder="1" applyAlignment="1" applyProtection="1">
      <alignment horizontal="center"/>
      <protection hidden="1"/>
    </xf>
    <xf numFmtId="14" fontId="21" fillId="0" borderId="16" xfId="0" applyNumberFormat="1" applyFont="1" applyBorder="1" applyAlignment="1" applyProtection="1">
      <alignment horizontal="center"/>
      <protection hidden="1"/>
    </xf>
    <xf numFmtId="0" fontId="21" fillId="0" borderId="35" xfId="0" applyFont="1" applyBorder="1" applyAlignment="1" applyProtection="1">
      <alignment horizontal="center"/>
      <protection hidden="1"/>
    </xf>
    <xf numFmtId="14" fontId="21" fillId="0" borderId="36" xfId="0" applyNumberFormat="1" applyFont="1" applyBorder="1" applyAlignment="1" applyProtection="1">
      <alignment horizontal="center"/>
      <protection hidden="1"/>
    </xf>
    <xf numFmtId="14" fontId="21" fillId="0" borderId="37" xfId="0" applyNumberFormat="1" applyFont="1" applyBorder="1" applyAlignment="1" applyProtection="1">
      <alignment horizontal="center"/>
      <protection hidden="1"/>
    </xf>
    <xf numFmtId="0" fontId="28" fillId="8" borderId="22" xfId="0" applyFont="1" applyFill="1" applyBorder="1" applyAlignment="1" applyProtection="1">
      <alignment horizontal="center"/>
      <protection hidden="1"/>
    </xf>
    <xf numFmtId="0" fontId="19" fillId="0" borderId="26" xfId="0" applyFont="1" applyBorder="1" applyProtection="1">
      <protection hidden="1"/>
    </xf>
    <xf numFmtId="0" fontId="19" fillId="0" borderId="0" xfId="0" applyFont="1" applyAlignment="1" applyProtection="1">
      <alignment horizontal="left" wrapText="1"/>
      <protection hidden="1"/>
    </xf>
    <xf numFmtId="0" fontId="30" fillId="0" borderId="0" xfId="0" applyFont="1" applyProtection="1"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9" borderId="3" xfId="0" applyFont="1" applyFill="1" applyBorder="1" applyProtection="1">
      <protection hidden="1"/>
    </xf>
    <xf numFmtId="1" fontId="33" fillId="0" borderId="38" xfId="0" applyNumberFormat="1" applyFont="1" applyBorder="1" applyAlignment="1" applyProtection="1">
      <alignment vertical="center"/>
      <protection locked="0"/>
    </xf>
    <xf numFmtId="10" fontId="33" fillId="0" borderId="38" xfId="15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hidden="1"/>
    </xf>
    <xf numFmtId="0" fontId="34" fillId="0" borderId="0" xfId="0" applyFont="1" applyAlignment="1" applyProtection="1">
      <alignment wrapText="1"/>
      <protection hidden="1"/>
    </xf>
    <xf numFmtId="4" fontId="22" fillId="0" borderId="42" xfId="0" applyNumberFormat="1" applyFont="1" applyBorder="1" applyAlignment="1" applyProtection="1">
      <alignment horizontal="center"/>
      <protection hidden="1"/>
    </xf>
    <xf numFmtId="0" fontId="9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3" xfId="0" applyFont="1" applyBorder="1" applyAlignment="1" applyProtection="1">
      <alignment vertical="center"/>
      <protection locked="0"/>
    </xf>
    <xf numFmtId="165" fontId="19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14" fontId="16" fillId="0" borderId="26" xfId="0" applyNumberFormat="1" applyFont="1" applyBorder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44" fontId="0" fillId="6" borderId="1" xfId="20" applyFont="1" applyFill="1" applyBorder="1" applyAlignment="1" applyProtection="1">
      <alignment horizontal="right" vertical="center"/>
      <protection hidden="1"/>
    </xf>
    <xf numFmtId="165" fontId="19" fillId="0" borderId="0" xfId="0" applyNumberFormat="1" applyFont="1" applyAlignment="1" applyProtection="1">
      <alignment horizontal="right"/>
      <protection hidden="1"/>
    </xf>
    <xf numFmtId="171" fontId="0" fillId="6" borderId="1" xfId="15" applyNumberFormat="1" applyFont="1" applyFill="1" applyBorder="1" applyAlignment="1" applyProtection="1">
      <alignment horizontal="right" vertical="center"/>
      <protection hidden="1"/>
    </xf>
    <xf numFmtId="0" fontId="26" fillId="0" borderId="0" xfId="19" applyFont="1" applyAlignment="1" applyProtection="1">
      <alignment horizontal="center"/>
      <protection hidden="1"/>
    </xf>
    <xf numFmtId="14" fontId="16" fillId="9" borderId="38" xfId="0" applyNumberFormat="1" applyFont="1" applyFill="1" applyBorder="1" applyAlignment="1" applyProtection="1">
      <alignment vertical="center"/>
      <protection hidden="1"/>
    </xf>
    <xf numFmtId="10" fontId="16" fillId="9" borderId="38" xfId="15" applyNumberFormat="1" applyFont="1" applyFill="1" applyBorder="1" applyAlignment="1" applyProtection="1">
      <alignment vertical="center"/>
      <protection hidden="1"/>
    </xf>
    <xf numFmtId="0" fontId="24" fillId="0" borderId="0" xfId="11" applyFill="1" applyBorder="1" applyAlignment="1" applyProtection="1">
      <protection hidden="1"/>
    </xf>
    <xf numFmtId="4" fontId="33" fillId="0" borderId="38" xfId="0" applyNumberFormat="1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right" vertical="center"/>
      <protection hidden="1"/>
    </xf>
    <xf numFmtId="0" fontId="34" fillId="0" borderId="0" xfId="0" applyFont="1" applyAlignment="1" applyProtection="1">
      <alignment horizontal="left" wrapText="1" indent="1"/>
      <protection hidden="1"/>
    </xf>
    <xf numFmtId="0" fontId="34" fillId="0" borderId="0" xfId="0" applyFont="1" applyAlignment="1" applyProtection="1">
      <alignment horizontal="left" vertical="center" wrapText="1" indent="1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6" fillId="0" borderId="4" xfId="0" applyFont="1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left" vertical="center" wrapText="1"/>
      <protection hidden="1"/>
    </xf>
    <xf numFmtId="0" fontId="16" fillId="0" borderId="27" xfId="0" applyFont="1" applyBorder="1" applyAlignment="1" applyProtection="1">
      <alignment horizontal="left" vertical="center" wrapText="1"/>
      <protection hidden="1"/>
    </xf>
    <xf numFmtId="0" fontId="16" fillId="0" borderId="39" xfId="0" applyFont="1" applyBorder="1" applyAlignment="1" applyProtection="1">
      <alignment horizontal="left" vertical="center"/>
      <protection hidden="1"/>
    </xf>
    <xf numFmtId="0" fontId="16" fillId="0" borderId="27" xfId="0" applyFont="1" applyBorder="1" applyAlignment="1" applyProtection="1">
      <alignment horizontal="left" vertical="center"/>
      <protection hidden="1"/>
    </xf>
    <xf numFmtId="0" fontId="19" fillId="0" borderId="26" xfId="0" applyFont="1" applyBorder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16" fillId="0" borderId="27" xfId="0" applyFont="1" applyBorder="1" applyAlignment="1" applyProtection="1">
      <alignment horizontal="center" vertical="center"/>
      <protection hidden="1"/>
    </xf>
    <xf numFmtId="0" fontId="16" fillId="0" borderId="40" xfId="0" applyFont="1" applyBorder="1" applyAlignment="1" applyProtection="1">
      <alignment horizontal="center" vertical="center"/>
      <protection hidden="1"/>
    </xf>
    <xf numFmtId="0" fontId="16" fillId="0" borderId="41" xfId="0" applyFont="1" applyBorder="1" applyAlignment="1" applyProtection="1">
      <alignment horizontal="center" vertical="center"/>
      <protection hidden="1"/>
    </xf>
    <xf numFmtId="0" fontId="14" fillId="2" borderId="15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7" fillId="6" borderId="10" xfId="0" applyFont="1" applyFill="1" applyBorder="1" applyAlignment="1" applyProtection="1">
      <alignment horizontal="center" vertical="center"/>
      <protection hidden="1"/>
    </xf>
    <xf numFmtId="0" fontId="17" fillId="6" borderId="12" xfId="0" applyFont="1" applyFill="1" applyBorder="1" applyAlignment="1" applyProtection="1">
      <alignment horizontal="center" vertical="center"/>
      <protection hidden="1"/>
    </xf>
    <xf numFmtId="0" fontId="17" fillId="6" borderId="6" xfId="0" applyFont="1" applyFill="1" applyBorder="1" applyAlignment="1" applyProtection="1">
      <alignment horizontal="center" vertical="center"/>
      <protection hidden="1"/>
    </xf>
    <xf numFmtId="0" fontId="17" fillId="6" borderId="7" xfId="0" applyFont="1" applyFill="1" applyBorder="1" applyAlignment="1" applyProtection="1">
      <alignment horizontal="center" vertical="center"/>
      <protection hidden="1"/>
    </xf>
    <xf numFmtId="0" fontId="17" fillId="6" borderId="8" xfId="0" applyFont="1" applyFill="1" applyBorder="1" applyAlignment="1" applyProtection="1">
      <alignment horizontal="center" vertical="center"/>
      <protection hidden="1"/>
    </xf>
    <xf numFmtId="0" fontId="17" fillId="6" borderId="9" xfId="0" applyFont="1" applyFill="1" applyBorder="1" applyAlignment="1" applyProtection="1">
      <alignment horizontal="center" vertical="center"/>
      <protection hidden="1"/>
    </xf>
    <xf numFmtId="0" fontId="17" fillId="6" borderId="1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7" fillId="9" borderId="12" xfId="0" applyFont="1" applyFill="1" applyBorder="1" applyAlignment="1" applyProtection="1">
      <alignment horizontal="center" vertical="center" wrapText="1"/>
      <protection hidden="1"/>
    </xf>
    <xf numFmtId="0" fontId="17" fillId="6" borderId="34" xfId="0" applyFont="1" applyFill="1" applyBorder="1" applyAlignment="1" applyProtection="1">
      <alignment horizontal="center" vertical="center" wrapText="1"/>
      <protection hidden="1"/>
    </xf>
    <xf numFmtId="0" fontId="17" fillId="6" borderId="12" xfId="0" applyFont="1" applyFill="1" applyBorder="1" applyAlignment="1" applyProtection="1">
      <alignment horizontal="center" vertical="center" wrapText="1"/>
      <protection hidden="1"/>
    </xf>
    <xf numFmtId="0" fontId="16" fillId="0" borderId="43" xfId="0" applyFont="1" applyBorder="1" applyAlignment="1" applyProtection="1">
      <alignment horizontal="center" vertical="center"/>
      <protection hidden="1"/>
    </xf>
    <xf numFmtId="0" fontId="16" fillId="0" borderId="44" xfId="0" applyFont="1" applyBorder="1" applyAlignment="1" applyProtection="1">
      <alignment horizontal="center" vertical="center"/>
      <protection hidden="1"/>
    </xf>
    <xf numFmtId="0" fontId="9" fillId="9" borderId="0" xfId="0" applyFont="1" applyFill="1" applyBorder="1" applyProtection="1">
      <protection hidden="1"/>
    </xf>
    <xf numFmtId="0" fontId="16" fillId="0" borderId="40" xfId="0" applyFont="1" applyBorder="1" applyAlignment="1" applyProtection="1">
      <alignment horizontal="center"/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19" fillId="0" borderId="39" xfId="0" applyFont="1" applyBorder="1" applyProtection="1">
      <protection hidden="1"/>
    </xf>
    <xf numFmtId="10" fontId="16" fillId="9" borderId="45" xfId="15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7" fillId="6" borderId="10" xfId="0" applyFont="1" applyFill="1" applyBorder="1" applyAlignment="1" applyProtection="1">
      <alignment horizontal="center" vertical="center" wrapText="1"/>
      <protection hidden="1"/>
    </xf>
    <xf numFmtId="0" fontId="17" fillId="6" borderId="6" xfId="0" applyFont="1" applyFill="1" applyBorder="1" applyAlignment="1" applyProtection="1">
      <alignment horizontal="center" vertical="center" wrapText="1"/>
      <protection hidden="1"/>
    </xf>
    <xf numFmtId="0" fontId="17" fillId="6" borderId="7" xfId="0" applyFont="1" applyFill="1" applyBorder="1" applyAlignment="1" applyProtection="1">
      <alignment horizontal="center" vertical="center" wrapText="1"/>
      <protection hidden="1"/>
    </xf>
    <xf numFmtId="0" fontId="17" fillId="6" borderId="8" xfId="0" applyFont="1" applyFill="1" applyBorder="1" applyAlignment="1" applyProtection="1">
      <alignment horizontal="center" vertical="center" wrapText="1"/>
      <protection hidden="1"/>
    </xf>
    <xf numFmtId="0" fontId="17" fillId="6" borderId="9" xfId="0" applyFont="1" applyFill="1" applyBorder="1" applyAlignment="1" applyProtection="1">
      <alignment horizontal="center" vertical="center" wrapText="1"/>
      <protection hidden="1"/>
    </xf>
    <xf numFmtId="0" fontId="17" fillId="6" borderId="1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10" fontId="16" fillId="9" borderId="38" xfId="15" applyNumberFormat="1" applyFont="1" applyFill="1" applyBorder="1" applyAlignment="1" applyProtection="1">
      <alignment vertical="center" wrapText="1"/>
      <protection hidden="1"/>
    </xf>
    <xf numFmtId="10" fontId="16" fillId="9" borderId="38" xfId="15" applyNumberFormat="1" applyFont="1" applyFill="1" applyBorder="1" applyAlignment="1" applyProtection="1">
      <alignment horizontal="center" vertical="center" wrapText="1"/>
      <protection hidden="1"/>
    </xf>
  </cellXfs>
  <cellStyles count="21">
    <cellStyle name="Cancel" xfId="1" xr:uid="{00000000-0005-0000-0000-000000000000}"/>
    <cellStyle name="Comma0 - Modelo1" xfId="2" xr:uid="{00000000-0005-0000-0000-000001000000}"/>
    <cellStyle name="Comma0 - Style1" xfId="3" xr:uid="{00000000-0005-0000-0000-000002000000}"/>
    <cellStyle name="Comma0 - Style2" xfId="4" xr:uid="{00000000-0005-0000-0000-000003000000}"/>
    <cellStyle name="Comma1 - Modelo2" xfId="5" xr:uid="{00000000-0005-0000-0000-000004000000}"/>
    <cellStyle name="Comma1 - Style1" xfId="6" xr:uid="{00000000-0005-0000-0000-000005000000}"/>
    <cellStyle name="Comma1 - Style2" xfId="7" xr:uid="{00000000-0005-0000-0000-000006000000}"/>
    <cellStyle name="Currency [0]_8-a, perstat-nov" xfId="8" xr:uid="{00000000-0005-0000-0000-000007000000}"/>
    <cellStyle name="Currency_8-a, perstat-nov" xfId="9" xr:uid="{00000000-0005-0000-0000-000008000000}"/>
    <cellStyle name="dicme93" xfId="10" xr:uid="{00000000-0005-0000-0000-000009000000}"/>
    <cellStyle name="Hipervínculo" xfId="11" builtinId="8"/>
    <cellStyle name="LASER" xfId="12" xr:uid="{00000000-0005-0000-0000-00000B000000}"/>
    <cellStyle name="Millares 2" xfId="13" xr:uid="{00000000-0005-0000-0000-00000C000000}"/>
    <cellStyle name="Moneda" xfId="20" builtinId="4"/>
    <cellStyle name="Normal" xfId="0" builtinId="0"/>
    <cellStyle name="Normal 2" xfId="14" xr:uid="{00000000-0005-0000-0000-00000E000000}"/>
    <cellStyle name="Normal 3" xfId="19" xr:uid="{00000000-0005-0000-0000-00000F000000}"/>
    <cellStyle name="Porcentaje" xfId="15" builtinId="5"/>
    <cellStyle name="Porcentual 2" xfId="16" xr:uid="{00000000-0005-0000-0000-000011000000}"/>
    <cellStyle name="Porcentual 3" xfId="17" xr:uid="{00000000-0005-0000-0000-000012000000}"/>
    <cellStyle name="RM" xfId="18" xr:uid="{00000000-0005-0000-0000-000013000000}"/>
  </cellStyles>
  <dxfs count="0"/>
  <tableStyles count="0" defaultTableStyle="TableStyleMedium9" defaultPivotStyle="PivotStyleLight16"/>
  <colors>
    <mruColors>
      <color rgb="FF0000B0"/>
      <color rgb="FF0000A4"/>
      <color rgb="FF000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0</xdr:row>
      <xdr:rowOff>193370</xdr:rowOff>
    </xdr:from>
    <xdr:to>
      <xdr:col>3</xdr:col>
      <xdr:colOff>789828</xdr:colOff>
      <xdr:row>3</xdr:row>
      <xdr:rowOff>15137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923C07BA-61D1-4321-8BB5-8B8FF37E99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8" t="33609" r="16291" b="50003"/>
        <a:stretch/>
      </xdr:blipFill>
      <xdr:spPr bwMode="auto">
        <a:xfrm>
          <a:off x="238125" y="145745"/>
          <a:ext cx="1561353" cy="402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0</xdr:row>
      <xdr:rowOff>193370</xdr:rowOff>
    </xdr:from>
    <xdr:to>
      <xdr:col>3</xdr:col>
      <xdr:colOff>789828</xdr:colOff>
      <xdr:row>3</xdr:row>
      <xdr:rowOff>15137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09008BE-88E6-45EA-9513-CB7DB0EC9A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8" t="33609" r="16291" b="50003"/>
        <a:stretch/>
      </xdr:blipFill>
      <xdr:spPr bwMode="auto">
        <a:xfrm>
          <a:off x="1022350" y="193370"/>
          <a:ext cx="1651979" cy="399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ym01\diskd\SBP\2008%20(CAN)\FIN\RET\CONS\BCASE\Csp\BC%20Alianza%20San%20Pab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Anexo 2"/>
      <sheetName val="Anexo 2_"/>
      <sheetName val="Resumen"/>
      <sheetName val="Cálculo Maduración"/>
      <sheetName val="RU"/>
      <sheetName val="Cálculo FR"/>
      <sheetName val="Distribución MAF"/>
      <sheetName val="Anexo 3"/>
      <sheetName val="FLUJOS"/>
    </sheetNames>
    <sheetDataSet>
      <sheetData sheetId="0" refreshError="1"/>
      <sheetData sheetId="1" refreshError="1"/>
      <sheetData sheetId="2">
        <row r="10">
          <cell r="C10">
            <v>3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7D02-5EC4-4B29-82A6-DDD03978D0BD}">
  <dimension ref="A1:BO98"/>
  <sheetViews>
    <sheetView showGridLines="0" tabSelected="1" zoomScale="89" zoomScaleNormal="100" workbookViewId="0">
      <selection activeCell="E7" sqref="E7"/>
    </sheetView>
  </sheetViews>
  <sheetFormatPr baseColWidth="10" defaultColWidth="0" defaultRowHeight="11.25" customHeight="1" zeroHeight="1"/>
  <cols>
    <col min="1" max="1" width="3.5703125" style="26" bestFit="1" customWidth="1"/>
    <col min="2" max="2" width="11.42578125" style="97" hidden="1" customWidth="1"/>
    <col min="3" max="3" width="11.5703125" style="97" customWidth="1"/>
    <col min="4" max="4" width="13.85546875" style="97" customWidth="1"/>
    <col min="5" max="5" width="17.85546875" style="97" customWidth="1"/>
    <col min="6" max="6" width="4.5703125" style="97" hidden="1" customWidth="1"/>
    <col min="7" max="7" width="8.85546875" style="97" hidden="1" customWidth="1"/>
    <col min="8" max="8" width="9.42578125" style="97" hidden="1" customWidth="1"/>
    <col min="9" max="10" width="10.85546875" style="97" hidden="1" customWidth="1"/>
    <col min="11" max="12" width="7.42578125" style="97" hidden="1" customWidth="1"/>
    <col min="13" max="13" width="8.85546875" style="97" hidden="1" customWidth="1"/>
    <col min="14" max="14" width="7.42578125" style="97" hidden="1" customWidth="1"/>
    <col min="15" max="15" width="16.28515625" style="97" customWidth="1"/>
    <col min="16" max="16" width="13.85546875" style="97" customWidth="1"/>
    <col min="17" max="17" width="12.28515625" style="97" bestFit="1" customWidth="1"/>
    <col min="18" max="18" width="0.5703125" style="97" hidden="1" customWidth="1"/>
    <col min="19" max="19" width="12.85546875" style="97" bestFit="1" customWidth="1"/>
    <col min="20" max="20" width="4.5703125" style="26" customWidth="1"/>
    <col min="21" max="21" width="6.85546875" style="26" hidden="1" customWidth="1"/>
    <col min="22" max="25" width="8.85546875" style="26" hidden="1" customWidth="1"/>
    <col min="26" max="26" width="5.42578125" style="26" hidden="1" customWidth="1"/>
    <col min="27" max="51" width="8.85546875" style="26" hidden="1" customWidth="1"/>
    <col min="52" max="52" width="11.42578125" style="26" hidden="1" customWidth="1"/>
    <col min="53" max="53" width="7.5703125" style="26" hidden="1" customWidth="1"/>
    <col min="54" max="54" width="1.140625" style="26" hidden="1" customWidth="1"/>
    <col min="55" max="55" width="3.5703125" style="26" hidden="1" customWidth="1"/>
    <col min="56" max="57" width="2.140625" style="26" hidden="1" customWidth="1"/>
    <col min="58" max="58" width="6.42578125" style="26" hidden="1" customWidth="1"/>
    <col min="59" max="59" width="8.140625" style="26" hidden="1" customWidth="1"/>
    <col min="60" max="60" width="11.42578125" style="26" hidden="1" customWidth="1"/>
    <col min="61" max="61" width="7.5703125" style="26" hidden="1" customWidth="1"/>
    <col min="62" max="62" width="9" style="26" hidden="1" customWidth="1"/>
    <col min="63" max="63" width="3.5703125" style="26" hidden="1" customWidth="1"/>
    <col min="64" max="64" width="16.7109375" style="26" hidden="1" customWidth="1"/>
    <col min="65" max="65" width="2.140625" style="26" hidden="1" customWidth="1"/>
    <col min="66" max="66" width="6.42578125" style="26" hidden="1" customWidth="1"/>
    <col min="67" max="67" width="10" style="26" hidden="1" customWidth="1"/>
    <col min="68" max="16384" width="11.42578125" style="97" hidden="1"/>
  </cols>
  <sheetData>
    <row r="1" spans="1:64" s="26" customFormat="1"/>
    <row r="2" spans="1:64" s="26" customFormat="1" ht="20.100000000000001" customHeight="1"/>
    <row r="3" spans="1:64" s="26" customFormat="1"/>
    <row r="4" spans="1:64" s="18" customFormat="1" ht="48" customHeight="1">
      <c r="B4" s="70"/>
      <c r="C4" s="156" t="s">
        <v>59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17"/>
      <c r="BF4" s="19"/>
    </row>
    <row r="5" spans="1:64" s="26" customFormat="1" ht="16.5" thickBot="1">
      <c r="A5" s="20"/>
      <c r="B5" s="20"/>
      <c r="C5" s="21" t="s">
        <v>12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3"/>
      <c r="BA5" s="23"/>
      <c r="BB5" s="24"/>
      <c r="BC5" s="30"/>
      <c r="BD5" s="25"/>
      <c r="BF5" s="27"/>
    </row>
    <row r="6" spans="1:64" ht="25.5" customHeight="1" thickBot="1">
      <c r="B6" s="26"/>
      <c r="C6" s="118" t="s">
        <v>50</v>
      </c>
      <c r="D6" s="119"/>
      <c r="E6" s="111">
        <v>40000</v>
      </c>
      <c r="F6" s="98"/>
      <c r="G6" s="98"/>
      <c r="H6" s="98"/>
      <c r="I6" s="98"/>
      <c r="J6" s="98"/>
      <c r="K6" s="98"/>
      <c r="L6" s="98"/>
      <c r="M6" s="98"/>
      <c r="N6" s="98"/>
      <c r="O6" s="26"/>
      <c r="P6" s="124" t="s">
        <v>35</v>
      </c>
      <c r="Q6" s="125"/>
      <c r="R6" s="91"/>
      <c r="S6" s="108">
        <f ca="1">TODAY()</f>
        <v>45902</v>
      </c>
      <c r="AZ6" s="28"/>
      <c r="BA6" s="28"/>
      <c r="BB6" s="110"/>
      <c r="BC6" s="49"/>
      <c r="BF6" s="27"/>
      <c r="BG6" s="27"/>
      <c r="BH6" s="27"/>
    </row>
    <row r="7" spans="1:64" ht="15.75" thickBot="1">
      <c r="B7" s="26"/>
      <c r="C7" s="120" t="s">
        <v>1</v>
      </c>
      <c r="D7" s="121"/>
      <c r="E7" s="92">
        <v>36</v>
      </c>
      <c r="F7" s="98"/>
      <c r="G7" s="98"/>
      <c r="H7" s="98"/>
      <c r="I7" s="98"/>
      <c r="J7" s="98"/>
      <c r="K7" s="98"/>
      <c r="L7" s="98"/>
      <c r="M7" s="98"/>
      <c r="N7" s="98"/>
      <c r="O7" s="26"/>
      <c r="P7" s="26"/>
      <c r="Q7" s="26"/>
      <c r="R7" s="90"/>
      <c r="S7" s="26"/>
      <c r="AZ7" s="28"/>
      <c r="BA7" s="28"/>
      <c r="BB7" s="110"/>
      <c r="BE7" s="29"/>
      <c r="BF7" s="27"/>
      <c r="BG7" s="27"/>
      <c r="BH7" s="27"/>
      <c r="BI7" s="27"/>
    </row>
    <row r="8" spans="1:64" ht="15.75" thickBot="1">
      <c r="B8" s="26"/>
      <c r="C8" s="120" t="s">
        <v>49</v>
      </c>
      <c r="D8" s="121"/>
      <c r="E8" s="93">
        <v>8.8999999999999996E-2</v>
      </c>
      <c r="F8" s="99"/>
      <c r="G8" s="99"/>
      <c r="H8" s="99"/>
      <c r="I8" s="99"/>
      <c r="J8" s="99"/>
      <c r="K8" s="99"/>
      <c r="L8" s="99"/>
      <c r="M8" s="99"/>
      <c r="N8" s="99"/>
      <c r="O8" s="26"/>
      <c r="P8" s="126" t="s">
        <v>48</v>
      </c>
      <c r="Q8" s="127"/>
      <c r="R8" s="91"/>
      <c r="S8" s="109">
        <f ca="1">(1+(IRR(U23:U84)))^12-1</f>
        <v>9.0241731803367697E-2</v>
      </c>
      <c r="AZ8" s="28"/>
      <c r="BA8" s="64"/>
      <c r="BD8" s="27"/>
      <c r="BE8" s="29"/>
      <c r="BG8" s="27"/>
      <c r="BH8" s="27"/>
      <c r="BK8" s="27"/>
      <c r="BL8" s="27"/>
    </row>
    <row r="9" spans="1:64" s="26" customFormat="1" ht="15.75" thickBot="1">
      <c r="F9" s="86"/>
      <c r="G9" s="86"/>
      <c r="H9" s="86"/>
      <c r="I9" s="86"/>
      <c r="J9" s="86"/>
      <c r="K9" s="86"/>
      <c r="L9" s="86"/>
      <c r="M9" s="86"/>
      <c r="N9" s="86"/>
      <c r="P9" s="144" t="s">
        <v>54</v>
      </c>
      <c r="Q9" s="145"/>
      <c r="R9" s="146"/>
      <c r="S9" s="158" t="s">
        <v>55</v>
      </c>
      <c r="AZ9" s="28"/>
      <c r="BA9" s="64"/>
      <c r="BD9" s="27"/>
      <c r="BE9" s="29"/>
      <c r="BG9" s="27"/>
      <c r="BH9" s="27"/>
      <c r="BK9" s="27"/>
      <c r="BL9" s="27"/>
    </row>
    <row r="10" spans="1:64" s="26" customFormat="1" ht="15">
      <c r="C10" s="21" t="s">
        <v>36</v>
      </c>
      <c r="E10" s="100"/>
      <c r="F10" s="28"/>
      <c r="G10" s="28"/>
      <c r="H10" s="28"/>
      <c r="I10" s="28"/>
      <c r="J10" s="28"/>
      <c r="K10" s="28"/>
      <c r="L10" s="28"/>
      <c r="M10" s="28"/>
      <c r="N10" s="28"/>
      <c r="AZ10" s="28"/>
      <c r="BA10" s="64"/>
      <c r="BD10" s="27"/>
      <c r="BE10" s="29"/>
      <c r="BG10" s="27"/>
      <c r="BH10" s="27"/>
      <c r="BK10" s="27"/>
      <c r="BL10" s="27"/>
    </row>
    <row r="11" spans="1:64" s="26" customFormat="1" ht="66" customHeight="1">
      <c r="C11" s="114" t="s">
        <v>57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94"/>
      <c r="AZ11" s="28"/>
      <c r="BA11" s="64"/>
      <c r="BD11" s="27"/>
      <c r="BE11" s="29"/>
      <c r="BG11" s="27"/>
      <c r="BH11" s="27"/>
      <c r="BK11" s="27"/>
      <c r="BL11" s="27"/>
    </row>
    <row r="12" spans="1:64" s="26" customFormat="1" ht="51" customHeight="1">
      <c r="C12" s="114" t="s">
        <v>58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94"/>
      <c r="AZ12" s="28"/>
      <c r="BA12" s="64"/>
      <c r="BD12" s="27"/>
      <c r="BE12" s="29"/>
      <c r="BG12" s="27"/>
      <c r="BH12" s="27"/>
      <c r="BK12" s="27"/>
      <c r="BL12" s="27"/>
    </row>
    <row r="13" spans="1:64" s="26" customFormat="1" ht="18.600000000000001" customHeight="1">
      <c r="C13" s="114" t="s">
        <v>51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94"/>
      <c r="AZ13" s="28"/>
      <c r="BA13" s="64"/>
      <c r="BD13" s="27"/>
      <c r="BE13" s="29"/>
      <c r="BG13" s="27"/>
      <c r="BH13" s="27"/>
      <c r="BK13" s="27"/>
      <c r="BL13" s="27"/>
    </row>
    <row r="14" spans="1:64" s="26" customFormat="1" ht="29.1" customHeight="1">
      <c r="C14" s="114" t="s">
        <v>56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94"/>
      <c r="AZ14" s="28"/>
      <c r="BA14" s="64"/>
      <c r="BD14" s="27"/>
      <c r="BE14" s="29"/>
      <c r="BG14" s="27"/>
      <c r="BH14" s="27"/>
      <c r="BK14" s="27"/>
      <c r="BL14" s="27"/>
    </row>
    <row r="15" spans="1:64" s="26" customFormat="1" ht="11.1" customHeight="1" thickBot="1"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AZ15" s="28"/>
      <c r="BA15" s="64"/>
      <c r="BD15" s="27"/>
      <c r="BE15" s="29"/>
      <c r="BG15" s="27"/>
      <c r="BH15" s="27"/>
      <c r="BK15" s="27"/>
      <c r="BL15" s="27"/>
    </row>
    <row r="16" spans="1:64" s="26" customFormat="1" ht="15.75" hidden="1" thickBot="1">
      <c r="C16" s="28"/>
      <c r="E16" s="100"/>
      <c r="F16" s="28"/>
      <c r="G16" s="28"/>
      <c r="H16" s="28"/>
      <c r="I16" s="28"/>
      <c r="J16" s="28"/>
      <c r="K16" s="28"/>
      <c r="L16" s="28"/>
      <c r="M16" s="28"/>
      <c r="N16" s="28"/>
      <c r="AZ16" s="28"/>
      <c r="BA16" s="64"/>
      <c r="BD16" s="27"/>
      <c r="BE16" s="29"/>
      <c r="BG16" s="27"/>
      <c r="BH16" s="27"/>
      <c r="BK16" s="27"/>
      <c r="BL16" s="27"/>
    </row>
    <row r="17" spans="3:67" s="26" customFormat="1" ht="15.75" hidden="1" thickBot="1">
      <c r="C17" s="28"/>
      <c r="E17" s="10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101"/>
      <c r="AZ17" s="28"/>
      <c r="BA17" s="28"/>
      <c r="BD17" s="27"/>
      <c r="BE17" s="29"/>
      <c r="BG17" s="27"/>
      <c r="BH17" s="27"/>
      <c r="BK17" s="27"/>
      <c r="BL17" s="27"/>
    </row>
    <row r="18" spans="3:67" s="26" customFormat="1" ht="15.75" hidden="1" thickBot="1">
      <c r="C18" s="21" t="s">
        <v>30</v>
      </c>
      <c r="E18" s="100"/>
      <c r="F18" s="28"/>
      <c r="G18" s="28"/>
      <c r="H18" s="28"/>
      <c r="I18" s="28"/>
      <c r="J18" s="28"/>
      <c r="K18" s="28"/>
      <c r="L18" s="28"/>
      <c r="M18" s="28"/>
      <c r="N18" s="28"/>
      <c r="O18" s="122" t="s">
        <v>16</v>
      </c>
      <c r="P18" s="122"/>
      <c r="Q18" s="102">
        <f ca="1">+Q20-15</f>
        <v>45916</v>
      </c>
      <c r="AZ18" s="28"/>
      <c r="BA18" s="28"/>
      <c r="BD18" s="27"/>
      <c r="BE18" s="29"/>
      <c r="BG18" s="27"/>
      <c r="BH18" s="27"/>
      <c r="BK18" s="27"/>
      <c r="BL18" s="27"/>
    </row>
    <row r="19" spans="3:67" s="26" customFormat="1" ht="15.75" hidden="1" thickBot="1">
      <c r="C19" s="28"/>
      <c r="E19" s="100"/>
      <c r="F19" s="28"/>
      <c r="G19" s="28"/>
      <c r="H19" s="28"/>
      <c r="I19" s="28"/>
      <c r="J19" s="28"/>
      <c r="K19" s="28"/>
      <c r="L19" s="28"/>
      <c r="M19" s="28"/>
      <c r="N19" s="28"/>
      <c r="O19" s="88" t="s">
        <v>13</v>
      </c>
      <c r="P19" s="88" t="s">
        <v>14</v>
      </c>
      <c r="Q19" s="103">
        <v>28</v>
      </c>
      <c r="Z19" s="26" t="s">
        <v>40</v>
      </c>
      <c r="AA19" s="104">
        <v>30</v>
      </c>
      <c r="AZ19" s="28"/>
      <c r="BA19" s="28"/>
      <c r="BD19" s="27"/>
      <c r="BE19" s="29"/>
      <c r="BG19" s="27"/>
      <c r="BH19" s="27"/>
      <c r="BK19" s="27"/>
      <c r="BL19" s="27"/>
    </row>
    <row r="20" spans="3:67" s="26" customFormat="1" ht="15.75" hidden="1" thickBot="1">
      <c r="C20" s="28" t="s">
        <v>31</v>
      </c>
      <c r="E20" s="105" t="s">
        <v>34</v>
      </c>
      <c r="F20" s="28"/>
      <c r="G20" s="28"/>
      <c r="H20" s="28"/>
      <c r="I20" s="28"/>
      <c r="J20" s="28"/>
      <c r="K20" s="28"/>
      <c r="L20" s="28"/>
      <c r="M20" s="28"/>
      <c r="N20" s="28"/>
      <c r="O20" s="28" t="s">
        <v>41</v>
      </c>
      <c r="P20" s="28"/>
      <c r="Q20" s="65">
        <f ca="1">+S6+29</f>
        <v>45931</v>
      </c>
      <c r="Y20" s="112" t="s">
        <v>42</v>
      </c>
      <c r="Z20" s="112"/>
      <c r="AA20" s="106">
        <v>3.5000000000000001E-3</v>
      </c>
      <c r="AZ20" s="28"/>
      <c r="BA20" s="28"/>
      <c r="BD20" s="27"/>
      <c r="BE20" s="29"/>
      <c r="BG20" s="27"/>
      <c r="BH20" s="27"/>
      <c r="BK20" s="27"/>
      <c r="BL20" s="27"/>
    </row>
    <row r="21" spans="3:67" s="26" customFormat="1" ht="12" hidden="1" thickBot="1"/>
    <row r="22" spans="3:67" s="26" customFormat="1" ht="15.75" hidden="1" thickBot="1">
      <c r="C22" s="74" t="s">
        <v>10</v>
      </c>
      <c r="D22" s="75"/>
      <c r="E22" s="76"/>
      <c r="F22" s="67"/>
      <c r="G22" s="67"/>
      <c r="H22" s="67"/>
      <c r="I22" s="67"/>
      <c r="J22" s="67"/>
      <c r="K22" s="67"/>
      <c r="L22" s="67"/>
      <c r="M22" s="68"/>
      <c r="N22" s="69"/>
      <c r="O22" s="115" t="s">
        <v>9</v>
      </c>
      <c r="P22" s="116"/>
      <c r="Q22" s="117"/>
      <c r="R22" s="30"/>
      <c r="S22" s="30"/>
      <c r="T22" s="30"/>
      <c r="U22" s="30"/>
      <c r="V22" s="30"/>
      <c r="W22" s="30"/>
      <c r="X22" s="30"/>
      <c r="Y22" s="30"/>
      <c r="Z22" s="30"/>
      <c r="AA22" s="31" t="s">
        <v>1</v>
      </c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3:67" s="26" customFormat="1" ht="32.25" customHeight="1">
      <c r="C23" s="130" t="s">
        <v>4</v>
      </c>
      <c r="D23" s="139" t="s">
        <v>45</v>
      </c>
      <c r="E23" s="131" t="s">
        <v>44</v>
      </c>
      <c r="F23" s="132" t="s">
        <v>3</v>
      </c>
      <c r="G23" s="133" t="s">
        <v>8</v>
      </c>
      <c r="H23" s="133" t="s">
        <v>15</v>
      </c>
      <c r="I23" s="133" t="s">
        <v>7</v>
      </c>
      <c r="J23" s="133" t="s">
        <v>6</v>
      </c>
      <c r="K23" s="133" t="s">
        <v>2</v>
      </c>
      <c r="L23" s="133" t="s">
        <v>0</v>
      </c>
      <c r="M23" s="134" t="s">
        <v>5</v>
      </c>
      <c r="N23" s="135"/>
      <c r="O23" s="130" t="s">
        <v>38</v>
      </c>
      <c r="P23" s="136" t="s">
        <v>2</v>
      </c>
      <c r="Q23" s="140" t="s">
        <v>47</v>
      </c>
      <c r="R23" s="137"/>
      <c r="S23" s="138" t="s">
        <v>54</v>
      </c>
      <c r="T23" s="31"/>
      <c r="U23" s="89">
        <f>-E6</f>
        <v>-40000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</row>
    <row r="24" spans="3:67" s="26" customFormat="1" hidden="1">
      <c r="C24" s="32">
        <v>0</v>
      </c>
      <c r="D24" s="33"/>
      <c r="E24" s="37"/>
      <c r="F24" s="33"/>
      <c r="G24" s="34"/>
      <c r="H24" s="34"/>
      <c r="I24" s="34"/>
      <c r="J24" s="34"/>
      <c r="K24" s="34"/>
      <c r="L24" s="34"/>
      <c r="M24" s="35"/>
      <c r="N24" s="36"/>
      <c r="O24" s="32"/>
      <c r="P24" s="34"/>
      <c r="Q24" s="37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BF24" s="31" t="s">
        <v>28</v>
      </c>
      <c r="BG24" s="31" t="s">
        <v>29</v>
      </c>
      <c r="BL24" s="63" t="s">
        <v>32</v>
      </c>
      <c r="BO24" s="107" t="s">
        <v>33</v>
      </c>
    </row>
    <row r="25" spans="3:67" s="26" customFormat="1" ht="12">
      <c r="C25" s="38">
        <v>1</v>
      </c>
      <c r="D25" s="39">
        <f ca="1">IF(E7&gt;=C25,IF(DAY(BG25)=1,IF(TEXT(BG25,"dddd")="sábado",BG25+1,BG25),IF(DAY(BG25)&gt;1,IF(TEXT(BG25,"dddd")="sábado",BG25-1,BG25),"-")))</f>
        <v>45916</v>
      </c>
      <c r="E25" s="81">
        <f ca="1">IF($E$20="No",IF(BF25="sábado",IF($E$7&gt;=C25,BG25+$Q$19,"-"),IF($E$7&gt;=C25,D25+$Q$19,"-")),BO25)</f>
        <v>45931</v>
      </c>
      <c r="F25" s="77">
        <f ca="1">IF($E$7&gt;=C25,E25-S6+1,"-")</f>
        <v>30</v>
      </c>
      <c r="G25" s="40">
        <f ca="1">IF($E$7&gt;=C25,F25,"-")</f>
        <v>30</v>
      </c>
      <c r="H25" s="41">
        <f ca="1">IF($E$7&gt;=C25,ROUND(1/((1+$E$8)^(G25/360)),9),"-")</f>
        <v>0.99292019399999998</v>
      </c>
      <c r="I25" s="42">
        <f>IF($E$7&gt;=C25,E6,"-")</f>
        <v>40000</v>
      </c>
      <c r="J25" s="42">
        <f t="shared" ref="J25:J88" ca="1" si="0">IF($E$7=C25,I25,IF($E$7&gt;=C25,L25-K25,"-"))</f>
        <v>980.67000000000007</v>
      </c>
      <c r="K25" s="42">
        <f t="shared" ref="K25:K88" ca="1" si="1">IF($E$7=C25,ROUND(I25*((1+$E$8)^(F25/360)-1),2),IF($E$7&gt;=C25,ROUND(I25*((1+$E$8)^(F25/360)-1),2),"-"))</f>
        <v>285.20999999999998</v>
      </c>
      <c r="L25" s="42">
        <f ca="1">IF($E$7&gt;C25,ROUND($E$6/$H$97,2),IF($E$7=C25,J25+K25,"-"))</f>
        <v>1265.8800000000001</v>
      </c>
      <c r="M25" s="43">
        <f t="shared" ref="M25:M88" ca="1" si="2">IF($E$7&gt;=C25,I25-J25,"-")</f>
        <v>39019.33</v>
      </c>
      <c r="N25" s="44">
        <f ca="1">J25</f>
        <v>980.67000000000007</v>
      </c>
      <c r="O25" s="45">
        <f ca="1">IF($E$7&gt;=C25,(IF((N25&lt;=0),1,((SUM($J$25:J25)-(SUM($O$24:O24)))))),"-")</f>
        <v>980.67000000000007</v>
      </c>
      <c r="P25" s="42">
        <f t="shared" ref="P25:P88" ca="1" si="3">IF($E$7&gt;=C25,(Q25-O25),"-")</f>
        <v>285.21000000000004</v>
      </c>
      <c r="Q25" s="46">
        <f ca="1">IF($E$7&gt;=C25,(VALUE(L25)),"-")</f>
        <v>1265.8800000000001</v>
      </c>
      <c r="R25" s="47"/>
      <c r="S25" s="46">
        <f ca="1">IF(Q25="-","-",0)</f>
        <v>0</v>
      </c>
      <c r="T25" s="47"/>
      <c r="U25" s="47">
        <f ca="1">+IF($E$7&gt;=C25,+Q25+S25,"-")</f>
        <v>1265.8800000000001</v>
      </c>
      <c r="V25" s="47"/>
      <c r="W25" s="47"/>
      <c r="X25" s="47"/>
      <c r="Y25" s="47"/>
      <c r="Z25" s="47"/>
      <c r="AA25" s="31">
        <v>1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27"/>
      <c r="BA25" s="27">
        <f ca="1">IF(E7&gt;=C25,Q18,"-")</f>
        <v>45916</v>
      </c>
      <c r="BC25" s="26">
        <f ca="1">YEAR(BA25)</f>
        <v>2025</v>
      </c>
      <c r="BD25" s="26">
        <f ca="1">MONTH(BA25)</f>
        <v>9</v>
      </c>
      <c r="BE25" s="26">
        <f ca="1">DAY(BA25)</f>
        <v>16</v>
      </c>
      <c r="BF25" s="27" t="str">
        <f ca="1">TEXT(VALUE(CONCATENATE(BE25,"/",BD25,"/",BC25)),"dddd")</f>
        <v>martes</v>
      </c>
      <c r="BG25" s="27">
        <f ca="1">+VALUE(CONCATENATE(BE25,"/",BD25,"/",BC25))</f>
        <v>45916</v>
      </c>
      <c r="BI25" s="27">
        <f ca="1">IF(E7&gt;=C25,Q20,"-")</f>
        <v>45931</v>
      </c>
      <c r="BK25" s="26">
        <f ca="1">YEAR(BI25)</f>
        <v>2025</v>
      </c>
      <c r="BL25" s="26">
        <f ca="1">MONTH(BI25)</f>
        <v>10</v>
      </c>
      <c r="BM25" s="26">
        <f ca="1">DAY(BI25)</f>
        <v>1</v>
      </c>
      <c r="BN25" s="26" t="str">
        <f ca="1">TEXT(VALUE(CONCATENATE(BK25,"/",BL25,"/",BM25)),"dddd")</f>
        <v>miércoles</v>
      </c>
      <c r="BO25" s="27">
        <f t="shared" ref="BO25:BO88" ca="1" si="4">IF(C25&lt;=$E$7,VALUE(CONCATENATE(BM25,"/",BL25,"/",BK25)),"-")</f>
        <v>45931</v>
      </c>
    </row>
    <row r="26" spans="3:67" s="26" customFormat="1" ht="12">
      <c r="C26" s="38">
        <v>2</v>
      </c>
      <c r="D26" s="39">
        <f t="shared" ref="D26:D89" ca="1" si="5">IF(TEXT(IF($E$7&gt;=C26,VALUE(CONCATENATE(BE26,"/",BD26,"/",BC26)),"-"),"dddd")="sábado",IF($E$7&gt;=C26,VALUE(CONCATENATE(BE26,"/",BD26,"/",BC26)),"-")-1,IF($E$7&gt;=C26,VALUE(CONCATENATE(BE26,"/",BD26,"/",BC26)),"-"))</f>
        <v>45946</v>
      </c>
      <c r="E26" s="81">
        <f ca="1">IF($E$20="No",IF(BF26="sábado",IF($E$7&gt;=C26,BG26+$Q$19,"-"),IF($E$7&gt;=C26,D26+$Q$19,"-")),BO26)</f>
        <v>45962</v>
      </c>
      <c r="F26" s="77">
        <f t="shared" ref="F26:F89" ca="1" si="6">IF($E$7&gt;=C26,E26-E25,"-")</f>
        <v>31</v>
      </c>
      <c r="G26" s="40">
        <f t="shared" ref="G26:G89" ca="1" si="7">IF($E$7&gt;=C26,G25+F26,"-")</f>
        <v>61</v>
      </c>
      <c r="H26" s="41">
        <f t="shared" ref="H26:H89" ca="1" si="8">IF($E$7&gt;=C26,ROUND(1/((1+$E$8)^(G26/360)),9),"-")</f>
        <v>0.98565704799999998</v>
      </c>
      <c r="I26" s="42">
        <f t="shared" ref="I26:I89" ca="1" si="9">IF($E$7&gt;=C26,M25,"-")</f>
        <v>39019.33</v>
      </c>
      <c r="J26" s="42">
        <f t="shared" ca="1" si="0"/>
        <v>978.35000000000014</v>
      </c>
      <c r="K26" s="42">
        <f t="shared" ca="1" si="1"/>
        <v>287.52999999999997</v>
      </c>
      <c r="L26" s="42">
        <f ca="1">IF($E$7&gt;C26,ROUND($E$6/$H$97,2),IF($E$7=C26,J26+K26,"-"))</f>
        <v>1265.8800000000001</v>
      </c>
      <c r="M26" s="43">
        <f t="shared" ca="1" si="2"/>
        <v>38040.980000000003</v>
      </c>
      <c r="N26" s="48">
        <f ca="1">Q26-(K26+(J25*-1)+1)</f>
        <v>1958.0200000000002</v>
      </c>
      <c r="O26" s="45">
        <f ca="1">IF($E$7&gt;=C26,(IF((N26&lt;=0),1,((SUM($J$25:J26)-(SUM($O$24:O25)))))),"-")</f>
        <v>978.35000000000014</v>
      </c>
      <c r="P26" s="42">
        <f t="shared" ca="1" si="3"/>
        <v>287.52999999999997</v>
      </c>
      <c r="Q26" s="46">
        <f t="shared" ref="Q26:Q89" ca="1" si="10">IF($E$7&gt;=C26,(VALUE(L26)),"-")</f>
        <v>1265.8800000000001</v>
      </c>
      <c r="R26" s="47"/>
      <c r="S26" s="46">
        <f t="shared" ref="S26:S84" ca="1" si="11">IF(Q26="-","-",0)</f>
        <v>0</v>
      </c>
      <c r="T26" s="47"/>
      <c r="U26" s="47">
        <f t="shared" ref="U26:U84" ca="1" si="12">+IF($E$7&gt;=C26,+Q26+S26,"-")</f>
        <v>1265.8800000000001</v>
      </c>
      <c r="V26" s="47"/>
      <c r="W26" s="47"/>
      <c r="X26" s="47"/>
      <c r="Y26" s="47"/>
      <c r="Z26" s="47"/>
      <c r="AA26" s="31">
        <v>2</v>
      </c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27"/>
      <c r="BA26" s="27">
        <f t="shared" ref="BA26:BA89" ca="1" si="13">IF(TEXT(IF($E$7&gt;=C26,VALUE(CONCATENATE(BE26,"/",BD26,"/",BC26)),"-"),"dddd")="sábado",IF($E$7&gt;=C26,VALUE(CONCATENATE(BE26,"/",BD26,"/",BC26)),"-")-1,IF($E$7&gt;=C26,VALUE(CONCATENATE(BE26,"/",BD26,"/",BC26)),"-"))</f>
        <v>45946</v>
      </c>
      <c r="BC26" s="26">
        <f t="shared" ref="BC26:BC89" ca="1" si="14">IF(VALUE(BD25)=12,TEXT(VALUE(BC25)+1,"0000"),BC25)</f>
        <v>2025</v>
      </c>
      <c r="BD26" s="26" t="str">
        <f t="shared" ref="BD26:BD89" ca="1" si="15">IF(VALUE(BD25)=12,"01",TEXT(VALUE(BD25)+1,"00"))</f>
        <v>10</v>
      </c>
      <c r="BE26" s="26">
        <f t="shared" ref="BE26:BE89" ca="1" si="16">BE25</f>
        <v>16</v>
      </c>
      <c r="BF26" s="27" t="str">
        <f t="shared" ref="BF26:BF89" ca="1" si="17">TEXT(VALUE(CONCATENATE(BE26,"/",BD26,"/",BC26)),"dddd")</f>
        <v>jueves</v>
      </c>
      <c r="BG26" s="27">
        <f t="shared" ref="BG26:BG89" ca="1" si="18">+VALUE(CONCATENATE(BE26,"/",BD26,"/",BC26))</f>
        <v>45946</v>
      </c>
      <c r="BK26" s="26">
        <f ca="1">IF(VALUE(BL25)=12,TEXT(VALUE(BK25)+1,"0000"),BK25)</f>
        <v>2025</v>
      </c>
      <c r="BL26" s="26" t="str">
        <f ca="1">IF(VALUE(BL25)=12,"01",TEXT(VALUE(BL25)+1,"00"))</f>
        <v>11</v>
      </c>
      <c r="BM26" s="26">
        <f ca="1">+BM25</f>
        <v>1</v>
      </c>
      <c r="BN26" s="26" t="str">
        <f t="shared" ref="BN26:BN89" ca="1" si="19">TEXT(VALUE(CONCATENATE(BK26,"/",BL26,"/",BM26)),"dddd")</f>
        <v>sábado</v>
      </c>
      <c r="BO26" s="27">
        <f t="shared" ca="1" si="4"/>
        <v>45962</v>
      </c>
    </row>
    <row r="27" spans="3:67" s="26" customFormat="1" ht="12">
      <c r="C27" s="38">
        <v>3</v>
      </c>
      <c r="D27" s="39">
        <f t="shared" ca="1" si="5"/>
        <v>45977</v>
      </c>
      <c r="E27" s="81">
        <f ca="1">IF($E$20="No",IF(BF27="sábado",IF($E$7&gt;=C27,BG27+$Q$19,"-"),IF($E$7&gt;=C27,D27+$Q$19,"-")),BO27)</f>
        <v>45992</v>
      </c>
      <c r="F27" s="77">
        <f t="shared" ca="1" si="6"/>
        <v>30</v>
      </c>
      <c r="G27" s="40">
        <f t="shared" ca="1" si="7"/>
        <v>91</v>
      </c>
      <c r="H27" s="41">
        <f t="shared" ca="1" si="8"/>
        <v>0.97867878699999999</v>
      </c>
      <c r="I27" s="42">
        <f t="shared" ca="1" si="9"/>
        <v>38040.980000000003</v>
      </c>
      <c r="J27" s="42">
        <f t="shared" ca="1" si="0"/>
        <v>994.6400000000001</v>
      </c>
      <c r="K27" s="42">
        <f t="shared" ca="1" si="1"/>
        <v>271.24</v>
      </c>
      <c r="L27" s="42">
        <f ca="1">IF($E$7&gt;C27,ROUND($E$6/$H$97,2),IF($E$7=C27,J27+K27,"-"))</f>
        <v>1265.8800000000001</v>
      </c>
      <c r="M27" s="43">
        <f t="shared" ca="1" si="2"/>
        <v>37046.340000000004</v>
      </c>
      <c r="N27" s="48">
        <f ca="1">IF($E$7&gt;=C27,(IF(((Q27-(K27+(J26 * -1)+1))&lt;=0),1,((SUM(J$25:$J27)-(SUM($O$24:$O$26)))))),"-")</f>
        <v>994.6400000000001</v>
      </c>
      <c r="O27" s="45">
        <f ca="1">IF($E$7&gt;=C27,(IF((N27&lt;=0),1,((SUM($J$25:J27)-(SUM($O$24:O26)))))),"-")</f>
        <v>994.6400000000001</v>
      </c>
      <c r="P27" s="42">
        <f t="shared" ca="1" si="3"/>
        <v>271.24</v>
      </c>
      <c r="Q27" s="46">
        <f t="shared" ca="1" si="10"/>
        <v>1265.8800000000001</v>
      </c>
      <c r="R27" s="47"/>
      <c r="S27" s="46">
        <f t="shared" ca="1" si="11"/>
        <v>0</v>
      </c>
      <c r="T27" s="47"/>
      <c r="U27" s="47">
        <f t="shared" ca="1" si="12"/>
        <v>1265.8800000000001</v>
      </c>
      <c r="V27" s="47"/>
      <c r="W27" s="47"/>
      <c r="X27" s="47"/>
      <c r="Y27" s="47"/>
      <c r="Z27" s="47"/>
      <c r="AA27" s="31">
        <v>3</v>
      </c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27"/>
      <c r="BA27" s="27">
        <f t="shared" ca="1" si="13"/>
        <v>45977</v>
      </c>
      <c r="BC27" s="26">
        <f t="shared" ca="1" si="14"/>
        <v>2025</v>
      </c>
      <c r="BD27" s="26" t="str">
        <f t="shared" ca="1" si="15"/>
        <v>11</v>
      </c>
      <c r="BE27" s="26">
        <f t="shared" ca="1" si="16"/>
        <v>16</v>
      </c>
      <c r="BF27" s="27" t="str">
        <f t="shared" ca="1" si="17"/>
        <v>domingo</v>
      </c>
      <c r="BG27" s="27">
        <f t="shared" ca="1" si="18"/>
        <v>45977</v>
      </c>
      <c r="BK27" s="26">
        <f t="shared" ref="BK27:BK90" ca="1" si="20">IF(VALUE(BL26)=12,TEXT(VALUE(BK26)+1,"0000"),BK26)</f>
        <v>2025</v>
      </c>
      <c r="BL27" s="26" t="str">
        <f t="shared" ref="BL27:BL31" ca="1" si="21">IF(VALUE(BL26)=12,"01",TEXT(VALUE(BL26)+1,"00"))</f>
        <v>12</v>
      </c>
      <c r="BM27" s="26">
        <f t="shared" ref="BM27:BM90" ca="1" si="22">+BM26</f>
        <v>1</v>
      </c>
      <c r="BN27" s="26" t="str">
        <f t="shared" ca="1" si="19"/>
        <v>lunes</v>
      </c>
      <c r="BO27" s="27">
        <f t="shared" ca="1" si="4"/>
        <v>45992</v>
      </c>
    </row>
    <row r="28" spans="3:67" s="26" customFormat="1" ht="12">
      <c r="C28" s="38">
        <v>4</v>
      </c>
      <c r="D28" s="39">
        <f t="shared" ca="1" si="5"/>
        <v>46007</v>
      </c>
      <c r="E28" s="81">
        <f ca="1">IF($E$20="No",IF(BF28="sábado",IF($E$7&gt;=C28,BG28+$Q$19,"-"),IF($E$7&gt;=C28,D28+$Q$19,"-")),BO28)</f>
        <v>46023</v>
      </c>
      <c r="F28" s="77">
        <f t="shared" ca="1" si="6"/>
        <v>31</v>
      </c>
      <c r="G28" s="40">
        <f t="shared" ca="1" si="7"/>
        <v>122</v>
      </c>
      <c r="H28" s="41">
        <f t="shared" ca="1" si="8"/>
        <v>0.97151981499999995</v>
      </c>
      <c r="I28" s="42">
        <f t="shared" ca="1" si="9"/>
        <v>37046.340000000004</v>
      </c>
      <c r="J28" s="42">
        <f t="shared" ca="1" si="0"/>
        <v>992.8900000000001</v>
      </c>
      <c r="K28" s="42">
        <f t="shared" ca="1" si="1"/>
        <v>272.99</v>
      </c>
      <c r="L28" s="42">
        <f ca="1">IF($E$7&gt;C28,ROUND($E$6/$H$97,2),IF($E$7=C28,J28+K28,"-"))</f>
        <v>1265.8800000000001</v>
      </c>
      <c r="M28" s="43">
        <f t="shared" ca="1" si="2"/>
        <v>36053.450000000004</v>
      </c>
      <c r="N28" s="48">
        <f ca="1">IF($E$7&gt;=C28,(IF(((Q28-(K28+(J27 * -1)+1))&lt;=0),1,((SUM(J$25:$J28)-(SUM($O$24:$O$26)))))),"-")</f>
        <v>1987.53</v>
      </c>
      <c r="O28" s="45">
        <f ca="1">IF($E$7&gt;=C28,(IF((N28&lt;=0),1,((SUM($J$25:J28)-(SUM($O$24:O27)))))),"-")</f>
        <v>992.88999999999987</v>
      </c>
      <c r="P28" s="42">
        <f t="shared" ca="1" si="3"/>
        <v>272.99000000000024</v>
      </c>
      <c r="Q28" s="46">
        <f t="shared" ca="1" si="10"/>
        <v>1265.8800000000001</v>
      </c>
      <c r="R28" s="47"/>
      <c r="S28" s="46">
        <f t="shared" ca="1" si="11"/>
        <v>0</v>
      </c>
      <c r="T28" s="47"/>
      <c r="U28" s="47">
        <f t="shared" ca="1" si="12"/>
        <v>1265.8800000000001</v>
      </c>
      <c r="V28" s="47"/>
      <c r="W28" s="47"/>
      <c r="X28" s="47"/>
      <c r="Y28" s="47"/>
      <c r="Z28" s="47"/>
      <c r="AA28" s="31">
        <v>4</v>
      </c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BA28" s="27">
        <f t="shared" ca="1" si="13"/>
        <v>46007</v>
      </c>
      <c r="BC28" s="26">
        <f t="shared" ca="1" si="14"/>
        <v>2025</v>
      </c>
      <c r="BD28" s="26" t="str">
        <f t="shared" ca="1" si="15"/>
        <v>12</v>
      </c>
      <c r="BE28" s="26">
        <f t="shared" ca="1" si="16"/>
        <v>16</v>
      </c>
      <c r="BF28" s="27" t="str">
        <f t="shared" ca="1" si="17"/>
        <v>martes</v>
      </c>
      <c r="BG28" s="27">
        <f t="shared" ca="1" si="18"/>
        <v>46007</v>
      </c>
      <c r="BK28" s="26" t="str">
        <f t="shared" ca="1" si="20"/>
        <v>2026</v>
      </c>
      <c r="BL28" s="26" t="str">
        <f t="shared" ca="1" si="21"/>
        <v>01</v>
      </c>
      <c r="BM28" s="26">
        <f t="shared" ca="1" si="22"/>
        <v>1</v>
      </c>
      <c r="BN28" s="26" t="str">
        <f t="shared" ca="1" si="19"/>
        <v>jueves</v>
      </c>
      <c r="BO28" s="27">
        <f t="shared" ca="1" si="4"/>
        <v>46023</v>
      </c>
    </row>
    <row r="29" spans="3:67" s="26" customFormat="1" ht="12">
      <c r="C29" s="38">
        <v>5</v>
      </c>
      <c r="D29" s="39">
        <f t="shared" ca="1" si="5"/>
        <v>46038</v>
      </c>
      <c r="E29" s="81">
        <f ca="1">IF($E$20="No",IF(BF29="sábado",IF($E$7&gt;=C29,BG29+$Q$19,"-"),IF($E$7&gt;=C29,D29+$Q$19,"-")),BO29)</f>
        <v>46054</v>
      </c>
      <c r="F29" s="77">
        <f t="shared" ca="1" si="6"/>
        <v>31</v>
      </c>
      <c r="G29" s="40">
        <f t="shared" ca="1" si="7"/>
        <v>153</v>
      </c>
      <c r="H29" s="41">
        <f t="shared" ca="1" si="8"/>
        <v>0.96441321099999999</v>
      </c>
      <c r="I29" s="42">
        <f t="shared" ca="1" si="9"/>
        <v>36053.450000000004</v>
      </c>
      <c r="J29" s="42">
        <f t="shared" ca="1" si="0"/>
        <v>1000.21</v>
      </c>
      <c r="K29" s="42">
        <f t="shared" ca="1" si="1"/>
        <v>265.67</v>
      </c>
      <c r="L29" s="42">
        <f ca="1">IF($E$7&gt;C29,ROUND($E$6/$H$97,2),IF($E$7=C29,J29+K29,"-"))</f>
        <v>1265.8800000000001</v>
      </c>
      <c r="M29" s="43">
        <f t="shared" ca="1" si="2"/>
        <v>35053.240000000005</v>
      </c>
      <c r="N29" s="48">
        <f ca="1">IF($E$7&gt;=C29,(IF(((Q29-(K29+(J28 * -1)+1))&lt;=0),1,((SUM(J$25:$J29)-(SUM($O$24:$O$26)))))),"-")</f>
        <v>2987.74</v>
      </c>
      <c r="O29" s="45">
        <f ca="1">IF($E$7&gt;=C29,(IF((N29&lt;=0),1,((SUM($J$25:J29)-(SUM($O$24:O28)))))),"-")</f>
        <v>1000.21</v>
      </c>
      <c r="P29" s="42">
        <f t="shared" ca="1" si="3"/>
        <v>265.67000000000007</v>
      </c>
      <c r="Q29" s="46">
        <f t="shared" ca="1" si="10"/>
        <v>1265.8800000000001</v>
      </c>
      <c r="R29" s="47"/>
      <c r="S29" s="46">
        <f t="shared" ca="1" si="11"/>
        <v>0</v>
      </c>
      <c r="T29" s="47"/>
      <c r="U29" s="47">
        <f t="shared" ca="1" si="12"/>
        <v>1265.8800000000001</v>
      </c>
      <c r="V29" s="47"/>
      <c r="W29" s="47"/>
      <c r="X29" s="47"/>
      <c r="Y29" s="47"/>
      <c r="Z29" s="47"/>
      <c r="AA29" s="31">
        <v>5</v>
      </c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BA29" s="27">
        <f t="shared" ca="1" si="13"/>
        <v>46038</v>
      </c>
      <c r="BC29" s="26" t="str">
        <f t="shared" ca="1" si="14"/>
        <v>2026</v>
      </c>
      <c r="BD29" s="26" t="str">
        <f t="shared" ca="1" si="15"/>
        <v>01</v>
      </c>
      <c r="BE29" s="26">
        <f t="shared" ca="1" si="16"/>
        <v>16</v>
      </c>
      <c r="BF29" s="27" t="str">
        <f t="shared" ca="1" si="17"/>
        <v>viernes</v>
      </c>
      <c r="BG29" s="27">
        <f t="shared" ca="1" si="18"/>
        <v>46038</v>
      </c>
      <c r="BK29" s="26" t="str">
        <f t="shared" ca="1" si="20"/>
        <v>2026</v>
      </c>
      <c r="BL29" s="26" t="str">
        <f t="shared" ca="1" si="21"/>
        <v>02</v>
      </c>
      <c r="BM29" s="26">
        <f t="shared" ca="1" si="22"/>
        <v>1</v>
      </c>
      <c r="BN29" s="26" t="str">
        <f t="shared" ca="1" si="19"/>
        <v>domingo</v>
      </c>
      <c r="BO29" s="27">
        <f t="shared" ca="1" si="4"/>
        <v>46054</v>
      </c>
    </row>
    <row r="30" spans="3:67" s="26" customFormat="1" ht="12">
      <c r="C30" s="38">
        <v>6</v>
      </c>
      <c r="D30" s="39">
        <f t="shared" ca="1" si="5"/>
        <v>46069</v>
      </c>
      <c r="E30" s="81">
        <f ca="1">IF($E$20="No",IF(BF30="sábado",IF($E$7&gt;=C30,BG30+$Q$19,"-"),IF($E$7&gt;=C30,D30+$Q$19,"-")),BO30)</f>
        <v>46082</v>
      </c>
      <c r="F30" s="77">
        <f t="shared" ca="1" si="6"/>
        <v>28</v>
      </c>
      <c r="G30" s="40">
        <f t="shared" ca="1" si="7"/>
        <v>181</v>
      </c>
      <c r="H30" s="41">
        <f t="shared" ca="1" si="8"/>
        <v>0.95803903599999995</v>
      </c>
      <c r="I30" s="42">
        <f t="shared" ca="1" si="9"/>
        <v>35053.240000000005</v>
      </c>
      <c r="J30" s="42">
        <f t="shared" ca="1" si="0"/>
        <v>1032.6600000000001</v>
      </c>
      <c r="K30" s="42">
        <f t="shared" ca="1" si="1"/>
        <v>233.22</v>
      </c>
      <c r="L30" s="42">
        <f ca="1">IF($E$7&gt;C30,ROUND($E$6/$H$97,2),IF($E$7=C30,J30+K30,"-"))</f>
        <v>1265.8800000000001</v>
      </c>
      <c r="M30" s="43">
        <f t="shared" ca="1" si="2"/>
        <v>34020.58</v>
      </c>
      <c r="N30" s="48">
        <f ca="1">IF($E$7&gt;=C30,(IF(((Q30-(K30+(J29 * -1)+1))&lt;=0),1,((SUM(J$25:$J30)-(SUM($O$24:$O$26)))))),"-")</f>
        <v>4020.3999999999996</v>
      </c>
      <c r="O30" s="45">
        <f ca="1">IF($E$7&gt;=C30,(IF((N30&lt;=0),1,((SUM($J$25:J30)-(SUM($O$24:O29)))))),"-")</f>
        <v>1032.6599999999999</v>
      </c>
      <c r="P30" s="42">
        <f t="shared" ca="1" si="3"/>
        <v>233.22000000000025</v>
      </c>
      <c r="Q30" s="46">
        <f t="shared" ca="1" si="10"/>
        <v>1265.8800000000001</v>
      </c>
      <c r="R30" s="47"/>
      <c r="S30" s="46">
        <f t="shared" ca="1" si="11"/>
        <v>0</v>
      </c>
      <c r="T30" s="47"/>
      <c r="U30" s="47">
        <f t="shared" ca="1" si="12"/>
        <v>1265.8800000000001</v>
      </c>
      <c r="V30" s="47"/>
      <c r="W30" s="47"/>
      <c r="X30" s="47"/>
      <c r="Y30" s="47"/>
      <c r="Z30" s="47"/>
      <c r="AA30" s="31">
        <v>6</v>
      </c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BA30" s="27">
        <f t="shared" ca="1" si="13"/>
        <v>46069</v>
      </c>
      <c r="BC30" s="26" t="str">
        <f t="shared" ca="1" si="14"/>
        <v>2026</v>
      </c>
      <c r="BD30" s="26" t="str">
        <f t="shared" ca="1" si="15"/>
        <v>02</v>
      </c>
      <c r="BE30" s="26">
        <f t="shared" ca="1" si="16"/>
        <v>16</v>
      </c>
      <c r="BF30" s="27" t="str">
        <f t="shared" ca="1" si="17"/>
        <v>lunes</v>
      </c>
      <c r="BG30" s="27">
        <f t="shared" ca="1" si="18"/>
        <v>46069</v>
      </c>
      <c r="BK30" s="26" t="str">
        <f t="shared" ca="1" si="20"/>
        <v>2026</v>
      </c>
      <c r="BL30" s="26" t="str">
        <f t="shared" ca="1" si="21"/>
        <v>03</v>
      </c>
      <c r="BM30" s="26">
        <f t="shared" ca="1" si="22"/>
        <v>1</v>
      </c>
      <c r="BN30" s="26" t="str">
        <f t="shared" ca="1" si="19"/>
        <v>domingo</v>
      </c>
      <c r="BO30" s="27">
        <f t="shared" ca="1" si="4"/>
        <v>46082</v>
      </c>
    </row>
    <row r="31" spans="3:67" s="26" customFormat="1" ht="12">
      <c r="C31" s="38">
        <v>7</v>
      </c>
      <c r="D31" s="39">
        <f t="shared" ca="1" si="5"/>
        <v>46097</v>
      </c>
      <c r="E31" s="81">
        <f ca="1">IF($E$20="No",IF(BF31="sábado",IF($E$7&gt;=C31,BG31+$Q$19,"-"),IF($E$7&gt;=C31,D31+$Q$19,"-")),BO31)</f>
        <v>46113</v>
      </c>
      <c r="F31" s="77">
        <f t="shared" ca="1" si="6"/>
        <v>31</v>
      </c>
      <c r="G31" s="40">
        <f t="shared" ca="1" si="7"/>
        <v>212</v>
      </c>
      <c r="H31" s="41">
        <f t="shared" ca="1" si="8"/>
        <v>0.95103104299999996</v>
      </c>
      <c r="I31" s="42">
        <f t="shared" ca="1" si="9"/>
        <v>34020.58</v>
      </c>
      <c r="J31" s="42">
        <f t="shared" ca="1" si="0"/>
        <v>1015.19</v>
      </c>
      <c r="K31" s="42">
        <f t="shared" ca="1" si="1"/>
        <v>250.69</v>
      </c>
      <c r="L31" s="42">
        <f ca="1">IF($E$7&gt;C31,ROUND($E$6/$H$97,2),IF($E$7=C31,J31+K31,"-"))</f>
        <v>1265.8800000000001</v>
      </c>
      <c r="M31" s="43">
        <f t="shared" ca="1" si="2"/>
        <v>33005.39</v>
      </c>
      <c r="N31" s="48">
        <f ca="1">IF($E$7&gt;=C31,(IF(((Q31-(K31+(J30 * -1)+1))&lt;=0),1,((SUM(J$25:$J31)-(SUM($O$24:$O$26)))))),"-")</f>
        <v>5035.59</v>
      </c>
      <c r="O31" s="45">
        <f ca="1">IF($E$7&gt;=C31,(IF((N31&lt;=0),1,((SUM($J$25:J31)-(SUM($O$24:O30)))))),"-")</f>
        <v>1015.1900000000005</v>
      </c>
      <c r="P31" s="42">
        <f t="shared" ca="1" si="3"/>
        <v>250.6899999999996</v>
      </c>
      <c r="Q31" s="46">
        <f t="shared" ca="1" si="10"/>
        <v>1265.8800000000001</v>
      </c>
      <c r="R31" s="47"/>
      <c r="S31" s="46">
        <f t="shared" ca="1" si="11"/>
        <v>0</v>
      </c>
      <c r="T31" s="47"/>
      <c r="U31" s="47">
        <f t="shared" ca="1" si="12"/>
        <v>1265.8800000000001</v>
      </c>
      <c r="V31" s="47"/>
      <c r="W31" s="47"/>
      <c r="X31" s="47"/>
      <c r="Y31" s="47"/>
      <c r="Z31" s="47"/>
      <c r="AA31" s="31">
        <v>7</v>
      </c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BA31" s="27">
        <f t="shared" ca="1" si="13"/>
        <v>46097</v>
      </c>
      <c r="BC31" s="26" t="str">
        <f t="shared" ca="1" si="14"/>
        <v>2026</v>
      </c>
      <c r="BD31" s="26" t="str">
        <f t="shared" ca="1" si="15"/>
        <v>03</v>
      </c>
      <c r="BE31" s="26">
        <f t="shared" ca="1" si="16"/>
        <v>16</v>
      </c>
      <c r="BF31" s="27" t="str">
        <f t="shared" ca="1" si="17"/>
        <v>lunes</v>
      </c>
      <c r="BG31" s="27">
        <f t="shared" ca="1" si="18"/>
        <v>46097</v>
      </c>
      <c r="BK31" s="26" t="str">
        <f t="shared" ca="1" si="20"/>
        <v>2026</v>
      </c>
      <c r="BL31" s="26" t="str">
        <f t="shared" ca="1" si="21"/>
        <v>04</v>
      </c>
      <c r="BM31" s="26">
        <f t="shared" ca="1" si="22"/>
        <v>1</v>
      </c>
      <c r="BN31" s="26" t="str">
        <f t="shared" ca="1" si="19"/>
        <v>miércoles</v>
      </c>
      <c r="BO31" s="27">
        <f t="shared" ca="1" si="4"/>
        <v>46113</v>
      </c>
    </row>
    <row r="32" spans="3:67" s="26" customFormat="1" ht="12">
      <c r="C32" s="38">
        <v>8</v>
      </c>
      <c r="D32" s="39">
        <f t="shared" ca="1" si="5"/>
        <v>46128</v>
      </c>
      <c r="E32" s="81">
        <f ca="1">IF($E$20="No",IF(BF32="sábado",IF($E$7&gt;=C32,BG32+$Q$19,"-"),IF($E$7&gt;=C32,D32+$Q$19,"-")),BO32)</f>
        <v>46143</v>
      </c>
      <c r="F32" s="77">
        <f t="shared" ca="1" si="6"/>
        <v>30</v>
      </c>
      <c r="G32" s="40">
        <f t="shared" ca="1" si="7"/>
        <v>242</v>
      </c>
      <c r="H32" s="41">
        <f t="shared" ca="1" si="8"/>
        <v>0.94429792700000004</v>
      </c>
      <c r="I32" s="42">
        <f t="shared" ca="1" si="9"/>
        <v>33005.39</v>
      </c>
      <c r="J32" s="42">
        <f t="shared" ca="1" si="0"/>
        <v>1030.5400000000002</v>
      </c>
      <c r="K32" s="42">
        <f t="shared" ca="1" si="1"/>
        <v>235.34</v>
      </c>
      <c r="L32" s="42">
        <f ca="1">IF($E$7&gt;C32,ROUND($E$6/$H$97,2),IF($E$7=C32,J32+K32,"-"))</f>
        <v>1265.8800000000001</v>
      </c>
      <c r="M32" s="43">
        <f t="shared" ca="1" si="2"/>
        <v>31974.85</v>
      </c>
      <c r="N32" s="48">
        <f ca="1">IF($E$7&gt;=C32,(IF(((Q32-(K32+(J31 * -1)+1))&lt;=0),1,((SUM(J$25:$J32)-(SUM($O$24:$O$26)))))),"-")</f>
        <v>6066.13</v>
      </c>
      <c r="O32" s="45">
        <f ca="1">IF($E$7&gt;=C32,(IF((N32&lt;=0),1,((SUM($J$25:J32)-(SUM($O$24:O31)))))),"-")</f>
        <v>1030.54</v>
      </c>
      <c r="P32" s="42">
        <f t="shared" ca="1" si="3"/>
        <v>235.34000000000015</v>
      </c>
      <c r="Q32" s="46">
        <f t="shared" ca="1" si="10"/>
        <v>1265.8800000000001</v>
      </c>
      <c r="R32" s="47"/>
      <c r="S32" s="46">
        <f t="shared" ca="1" si="11"/>
        <v>0</v>
      </c>
      <c r="T32" s="47"/>
      <c r="U32" s="47">
        <f t="shared" ca="1" si="12"/>
        <v>1265.8800000000001</v>
      </c>
      <c r="V32" s="47"/>
      <c r="W32" s="47"/>
      <c r="X32" s="47"/>
      <c r="Y32" s="47"/>
      <c r="Z32" s="47"/>
      <c r="AA32" s="31">
        <v>8</v>
      </c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BA32" s="27">
        <f t="shared" ca="1" si="13"/>
        <v>46128</v>
      </c>
      <c r="BC32" s="26" t="str">
        <f t="shared" ca="1" si="14"/>
        <v>2026</v>
      </c>
      <c r="BD32" s="26" t="str">
        <f t="shared" ca="1" si="15"/>
        <v>04</v>
      </c>
      <c r="BE32" s="26">
        <f t="shared" ca="1" si="16"/>
        <v>16</v>
      </c>
      <c r="BF32" s="27" t="str">
        <f t="shared" ca="1" si="17"/>
        <v>jueves</v>
      </c>
      <c r="BG32" s="27">
        <f t="shared" ca="1" si="18"/>
        <v>46128</v>
      </c>
      <c r="BK32" s="26" t="str">
        <f t="shared" ca="1" si="20"/>
        <v>2026</v>
      </c>
      <c r="BL32" s="26" t="str">
        <f ca="1">IF(VALUE(BL31)=12,"01",TEXT(VALUE(BL31)+1,"00"))</f>
        <v>05</v>
      </c>
      <c r="BM32" s="26">
        <f t="shared" ca="1" si="22"/>
        <v>1</v>
      </c>
      <c r="BN32" s="26" t="str">
        <f t="shared" ca="1" si="19"/>
        <v>viernes</v>
      </c>
      <c r="BO32" s="27">
        <f t="shared" ca="1" si="4"/>
        <v>46143</v>
      </c>
    </row>
    <row r="33" spans="3:67" s="26" customFormat="1" ht="12">
      <c r="C33" s="38">
        <v>9</v>
      </c>
      <c r="D33" s="39">
        <f t="shared" ca="1" si="5"/>
        <v>46157</v>
      </c>
      <c r="E33" s="81">
        <f ca="1">IF($E$20="No",IF(BF33="sábado",IF($E$7&gt;=C33,BG33+$Q$19,"-"),IF($E$7&gt;=C33,D33+$Q$19,"-")),BO33)</f>
        <v>46174</v>
      </c>
      <c r="F33" s="77">
        <f t="shared" ca="1" si="6"/>
        <v>31</v>
      </c>
      <c r="G33" s="40">
        <f t="shared" ca="1" si="7"/>
        <v>273</v>
      </c>
      <c r="H33" s="41">
        <f t="shared" ca="1" si="8"/>
        <v>0.93739044999999999</v>
      </c>
      <c r="I33" s="42">
        <f t="shared" ca="1" si="9"/>
        <v>31974.85</v>
      </c>
      <c r="J33" s="42">
        <f t="shared" ca="1" si="0"/>
        <v>1030.2600000000002</v>
      </c>
      <c r="K33" s="42">
        <f t="shared" ca="1" si="1"/>
        <v>235.62</v>
      </c>
      <c r="L33" s="42">
        <f ca="1">IF($E$7&gt;C33,ROUND($E$6/$H$97,2),IF($E$7=C33,J33+K33,"-"))</f>
        <v>1265.8800000000001</v>
      </c>
      <c r="M33" s="43">
        <f t="shared" ca="1" si="2"/>
        <v>30944.589999999997</v>
      </c>
      <c r="N33" s="48">
        <f ca="1">IF($E$7&gt;=C33,(IF(((Q33-(K33+(J32 * -1)+1))&lt;=0),1,((SUM(J$25:$J33)-(SUM($O$24:$O$26)))))),"-")</f>
        <v>7096.3899999999994</v>
      </c>
      <c r="O33" s="45">
        <f ca="1">IF($E$7&gt;=C33,(IF((N33&lt;=0),1,((SUM($J$25:J33)-(SUM($O$24:O32)))))),"-")</f>
        <v>1030.2599999999993</v>
      </c>
      <c r="P33" s="42">
        <f t="shared" ca="1" si="3"/>
        <v>235.6200000000008</v>
      </c>
      <c r="Q33" s="46">
        <f t="shared" ca="1" si="10"/>
        <v>1265.8800000000001</v>
      </c>
      <c r="R33" s="47"/>
      <c r="S33" s="46">
        <f t="shared" ca="1" si="11"/>
        <v>0</v>
      </c>
      <c r="T33" s="47"/>
      <c r="U33" s="47">
        <f t="shared" ca="1" si="12"/>
        <v>1265.8800000000001</v>
      </c>
      <c r="V33" s="47"/>
      <c r="W33" s="47"/>
      <c r="X33" s="47"/>
      <c r="Y33" s="47"/>
      <c r="Z33" s="47"/>
      <c r="AA33" s="31">
        <v>9</v>
      </c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BA33" s="27">
        <f t="shared" ca="1" si="13"/>
        <v>46157</v>
      </c>
      <c r="BC33" s="26" t="str">
        <f t="shared" ca="1" si="14"/>
        <v>2026</v>
      </c>
      <c r="BD33" s="26" t="str">
        <f t="shared" ca="1" si="15"/>
        <v>05</v>
      </c>
      <c r="BE33" s="26">
        <f t="shared" ca="1" si="16"/>
        <v>16</v>
      </c>
      <c r="BF33" s="27" t="str">
        <f t="shared" ca="1" si="17"/>
        <v>sábado</v>
      </c>
      <c r="BG33" s="27">
        <f t="shared" ca="1" si="18"/>
        <v>46158</v>
      </c>
      <c r="BK33" s="26" t="str">
        <f t="shared" ca="1" si="20"/>
        <v>2026</v>
      </c>
      <c r="BL33" s="26" t="str">
        <f t="shared" ref="BL33:BL96" ca="1" si="23">IF(VALUE(BL32)=12,"01",TEXT(VALUE(BL32)+1,"00"))</f>
        <v>06</v>
      </c>
      <c r="BM33" s="26">
        <f t="shared" ca="1" si="22"/>
        <v>1</v>
      </c>
      <c r="BN33" s="26" t="str">
        <f t="shared" ca="1" si="19"/>
        <v>lunes</v>
      </c>
      <c r="BO33" s="27">
        <f t="shared" ca="1" si="4"/>
        <v>46174</v>
      </c>
    </row>
    <row r="34" spans="3:67" s="26" customFormat="1" ht="12">
      <c r="C34" s="38">
        <v>10</v>
      </c>
      <c r="D34" s="39">
        <f t="shared" ca="1" si="5"/>
        <v>46189</v>
      </c>
      <c r="E34" s="81">
        <f ca="1">IF($E$20="No",IF(BF34="sábado",IF($E$7&gt;=C34,BG34+$Q$19,"-"),IF($E$7&gt;=C34,D34+$Q$19,"-")),BO34)</f>
        <v>46204</v>
      </c>
      <c r="F34" s="77">
        <f t="shared" ca="1" si="6"/>
        <v>30</v>
      </c>
      <c r="G34" s="40">
        <f t="shared" ca="1" si="7"/>
        <v>303</v>
      </c>
      <c r="H34" s="41">
        <f t="shared" ca="1" si="8"/>
        <v>0.93075390700000005</v>
      </c>
      <c r="I34" s="42">
        <f t="shared" ca="1" si="9"/>
        <v>30944.589999999997</v>
      </c>
      <c r="J34" s="42">
        <f t="shared" ca="1" si="0"/>
        <v>1045.2400000000002</v>
      </c>
      <c r="K34" s="42">
        <f t="shared" ca="1" si="1"/>
        <v>220.64</v>
      </c>
      <c r="L34" s="42">
        <f ca="1">IF($E$7&gt;C34,ROUND($E$6/$H$97,2),IF($E$7=C34,J34+K34,"-"))</f>
        <v>1265.8800000000001</v>
      </c>
      <c r="M34" s="43">
        <f t="shared" ca="1" si="2"/>
        <v>29899.349999999995</v>
      </c>
      <c r="N34" s="48">
        <f ca="1">IF($E$7&gt;=C34,(IF(((Q34-(K34+(J33 * -1)+1))&lt;=0),1,((SUM(J$25:$J34)-(SUM($O$24:$O$26)))))),"-")</f>
        <v>8141.6299999999992</v>
      </c>
      <c r="O34" s="45">
        <f ca="1">IF($E$7&gt;=C34,(IF((N34&lt;=0),1,((SUM($J$25:J34)-(SUM($O$24:O33)))))),"-")</f>
        <v>1045.2399999999998</v>
      </c>
      <c r="P34" s="42">
        <f t="shared" ca="1" si="3"/>
        <v>220.64000000000033</v>
      </c>
      <c r="Q34" s="46">
        <f t="shared" ca="1" si="10"/>
        <v>1265.8800000000001</v>
      </c>
      <c r="R34" s="47"/>
      <c r="S34" s="46">
        <f t="shared" ca="1" si="11"/>
        <v>0</v>
      </c>
      <c r="T34" s="47"/>
      <c r="U34" s="47">
        <f t="shared" ca="1" si="12"/>
        <v>1265.8800000000001</v>
      </c>
      <c r="V34" s="47"/>
      <c r="W34" s="47"/>
      <c r="X34" s="47"/>
      <c r="Y34" s="47"/>
      <c r="Z34" s="47"/>
      <c r="AA34" s="31">
        <v>10</v>
      </c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9"/>
      <c r="BA34" s="27">
        <f t="shared" ca="1" si="13"/>
        <v>46189</v>
      </c>
      <c r="BC34" s="26" t="str">
        <f t="shared" ca="1" si="14"/>
        <v>2026</v>
      </c>
      <c r="BD34" s="26" t="str">
        <f t="shared" ca="1" si="15"/>
        <v>06</v>
      </c>
      <c r="BE34" s="26">
        <f t="shared" ca="1" si="16"/>
        <v>16</v>
      </c>
      <c r="BF34" s="27" t="str">
        <f t="shared" ca="1" si="17"/>
        <v>martes</v>
      </c>
      <c r="BG34" s="27">
        <f t="shared" ca="1" si="18"/>
        <v>46189</v>
      </c>
      <c r="BK34" s="26" t="str">
        <f t="shared" ca="1" si="20"/>
        <v>2026</v>
      </c>
      <c r="BL34" s="26" t="str">
        <f t="shared" ca="1" si="23"/>
        <v>07</v>
      </c>
      <c r="BM34" s="26">
        <f t="shared" ca="1" si="22"/>
        <v>1</v>
      </c>
      <c r="BN34" s="26" t="str">
        <f t="shared" ca="1" si="19"/>
        <v>miércoles</v>
      </c>
      <c r="BO34" s="27">
        <f t="shared" ca="1" si="4"/>
        <v>46204</v>
      </c>
    </row>
    <row r="35" spans="3:67" s="26" customFormat="1" ht="12">
      <c r="C35" s="38">
        <v>11</v>
      </c>
      <c r="D35" s="39">
        <f t="shared" ca="1" si="5"/>
        <v>46219</v>
      </c>
      <c r="E35" s="81">
        <f ca="1">IF($E$20="No",IF(BF35="sábado",IF($E$7&gt;=C35,BG35+$Q$19,"-"),IF($E$7&gt;=C35,D35+$Q$19,"-")),BO35)</f>
        <v>46235</v>
      </c>
      <c r="F35" s="77">
        <f t="shared" ca="1" si="6"/>
        <v>31</v>
      </c>
      <c r="G35" s="40">
        <f t="shared" ca="1" si="7"/>
        <v>334</v>
      </c>
      <c r="H35" s="41">
        <f t="shared" ca="1" si="8"/>
        <v>0.923945503</v>
      </c>
      <c r="I35" s="42">
        <f t="shared" ca="1" si="9"/>
        <v>29899.349999999995</v>
      </c>
      <c r="J35" s="42">
        <f t="shared" ca="1" si="0"/>
        <v>1045.5600000000002</v>
      </c>
      <c r="K35" s="42">
        <f t="shared" ca="1" si="1"/>
        <v>220.32</v>
      </c>
      <c r="L35" s="42">
        <f ca="1">IF($E$7&gt;C35,ROUND($E$6/$H$97,2),IF($E$7=C35,J35+K35,"-"))</f>
        <v>1265.8800000000001</v>
      </c>
      <c r="M35" s="43">
        <f t="shared" ca="1" si="2"/>
        <v>28853.789999999994</v>
      </c>
      <c r="N35" s="48">
        <f ca="1">IF($E$7&gt;=C35,(IF(((Q35-(K35+(J34 * -1)+1))&lt;=0),1,((SUM(J$25:$J35)-(SUM($O$24:$O$26)))))),"-")</f>
        <v>9187.1899999999987</v>
      </c>
      <c r="O35" s="45">
        <f ca="1">IF($E$7&gt;=C35,(IF((N35&lt;=0),1,((SUM($J$25:J35)-(SUM($O$24:O34)))))),"-")</f>
        <v>1045.5599999999995</v>
      </c>
      <c r="P35" s="42">
        <f t="shared" ca="1" si="3"/>
        <v>220.32000000000062</v>
      </c>
      <c r="Q35" s="46">
        <f t="shared" ca="1" si="10"/>
        <v>1265.8800000000001</v>
      </c>
      <c r="R35" s="47"/>
      <c r="S35" s="46">
        <f t="shared" ca="1" si="11"/>
        <v>0</v>
      </c>
      <c r="T35" s="47"/>
      <c r="U35" s="47">
        <f t="shared" ca="1" si="12"/>
        <v>1265.8800000000001</v>
      </c>
      <c r="V35" s="47"/>
      <c r="W35" s="47"/>
      <c r="X35" s="47"/>
      <c r="Y35" s="47"/>
      <c r="Z35" s="47"/>
      <c r="AA35" s="31">
        <v>11</v>
      </c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BA35" s="27">
        <f t="shared" ca="1" si="13"/>
        <v>46219</v>
      </c>
      <c r="BC35" s="26" t="str">
        <f t="shared" ca="1" si="14"/>
        <v>2026</v>
      </c>
      <c r="BD35" s="26" t="str">
        <f t="shared" ca="1" si="15"/>
        <v>07</v>
      </c>
      <c r="BE35" s="26">
        <f t="shared" ca="1" si="16"/>
        <v>16</v>
      </c>
      <c r="BF35" s="27" t="str">
        <f t="shared" ca="1" si="17"/>
        <v>jueves</v>
      </c>
      <c r="BG35" s="27">
        <f t="shared" ca="1" si="18"/>
        <v>46219</v>
      </c>
      <c r="BK35" s="26" t="str">
        <f t="shared" ca="1" si="20"/>
        <v>2026</v>
      </c>
      <c r="BL35" s="26" t="str">
        <f t="shared" ca="1" si="23"/>
        <v>08</v>
      </c>
      <c r="BM35" s="26">
        <f t="shared" ca="1" si="22"/>
        <v>1</v>
      </c>
      <c r="BN35" s="26" t="str">
        <f t="shared" ca="1" si="19"/>
        <v>sábado</v>
      </c>
      <c r="BO35" s="27">
        <f t="shared" ca="1" si="4"/>
        <v>46235</v>
      </c>
    </row>
    <row r="36" spans="3:67" s="26" customFormat="1" ht="12">
      <c r="C36" s="38">
        <v>12</v>
      </c>
      <c r="D36" s="39">
        <f t="shared" ca="1" si="5"/>
        <v>46250</v>
      </c>
      <c r="E36" s="81">
        <f ca="1">IF($E$20="No",IF(BF36="sábado",IF($E$7&gt;=C36,BG36+$Q$19,"-"),IF($E$7&gt;=C36,D36+$Q$19,"-")),BO36)</f>
        <v>46266</v>
      </c>
      <c r="F36" s="77">
        <f t="shared" ca="1" si="6"/>
        <v>31</v>
      </c>
      <c r="G36" s="40">
        <f t="shared" ca="1" si="7"/>
        <v>365</v>
      </c>
      <c r="H36" s="41">
        <f t="shared" ca="1" si="8"/>
        <v>0.91718690199999997</v>
      </c>
      <c r="I36" s="42">
        <f t="shared" ca="1" si="9"/>
        <v>28853.789999999994</v>
      </c>
      <c r="J36" s="42">
        <f t="shared" ca="1" si="0"/>
        <v>1053.2600000000002</v>
      </c>
      <c r="K36" s="42">
        <f t="shared" ca="1" si="1"/>
        <v>212.62</v>
      </c>
      <c r="L36" s="42">
        <f ca="1">IF($E$7&gt;C36,ROUND($E$6/$H$97,2),IF($E$7=C36,J36+K36,"-"))</f>
        <v>1265.8800000000001</v>
      </c>
      <c r="M36" s="43">
        <f t="shared" ca="1" si="2"/>
        <v>27800.529999999992</v>
      </c>
      <c r="N36" s="48">
        <f ca="1">IF($E$7&gt;=C36,(IF(((Q36-(K36+(J35 * -1)+1))&lt;=0),1,((SUM(J$25:$J36)-(SUM($O$24:$O$26)))))),"-")</f>
        <v>10240.449999999999</v>
      </c>
      <c r="O36" s="45">
        <f ca="1">IF($E$7&gt;=C36,(IF((N36&lt;=0),1,((SUM($J$25:J36)-(SUM($O$24:O35)))))),"-")</f>
        <v>1053.2600000000002</v>
      </c>
      <c r="P36" s="42">
        <f t="shared" ca="1" si="3"/>
        <v>212.61999999999989</v>
      </c>
      <c r="Q36" s="46">
        <f t="shared" ca="1" si="10"/>
        <v>1265.8800000000001</v>
      </c>
      <c r="R36" s="47"/>
      <c r="S36" s="46">
        <f t="shared" ca="1" si="11"/>
        <v>0</v>
      </c>
      <c r="T36" s="47"/>
      <c r="U36" s="47">
        <f t="shared" ca="1" si="12"/>
        <v>1265.8800000000001</v>
      </c>
      <c r="V36" s="47"/>
      <c r="W36" s="47"/>
      <c r="X36" s="47"/>
      <c r="Y36" s="47"/>
      <c r="Z36" s="47"/>
      <c r="AA36" s="31">
        <v>12</v>
      </c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BA36" s="27">
        <f t="shared" ca="1" si="13"/>
        <v>46250</v>
      </c>
      <c r="BC36" s="26" t="str">
        <f t="shared" ca="1" si="14"/>
        <v>2026</v>
      </c>
      <c r="BD36" s="26" t="str">
        <f t="shared" ca="1" si="15"/>
        <v>08</v>
      </c>
      <c r="BE36" s="26">
        <f t="shared" ca="1" si="16"/>
        <v>16</v>
      </c>
      <c r="BF36" s="27" t="str">
        <f t="shared" ca="1" si="17"/>
        <v>domingo</v>
      </c>
      <c r="BG36" s="27">
        <f t="shared" ca="1" si="18"/>
        <v>46250</v>
      </c>
      <c r="BK36" s="26" t="str">
        <f t="shared" ca="1" si="20"/>
        <v>2026</v>
      </c>
      <c r="BL36" s="26" t="str">
        <f t="shared" ca="1" si="23"/>
        <v>09</v>
      </c>
      <c r="BM36" s="26">
        <f t="shared" ca="1" si="22"/>
        <v>1</v>
      </c>
      <c r="BN36" s="26" t="str">
        <f t="shared" ca="1" si="19"/>
        <v>martes</v>
      </c>
      <c r="BO36" s="27">
        <f t="shared" ca="1" si="4"/>
        <v>46266</v>
      </c>
    </row>
    <row r="37" spans="3:67" s="26" customFormat="1" ht="12">
      <c r="C37" s="38">
        <v>13</v>
      </c>
      <c r="D37" s="39">
        <f t="shared" ca="1" si="5"/>
        <v>46281</v>
      </c>
      <c r="E37" s="81">
        <f ca="1">IF($E$20="No",IF(BF37="sábado",IF($E$7&gt;=C37,BG37+$Q$19,"-"),IF($E$7&gt;=C37,D37+$Q$19,"-")),BO37)</f>
        <v>46296</v>
      </c>
      <c r="F37" s="77">
        <f t="shared" ca="1" si="6"/>
        <v>30</v>
      </c>
      <c r="G37" s="40">
        <f t="shared" ca="1" si="7"/>
        <v>395</v>
      </c>
      <c r="H37" s="41">
        <f t="shared" ca="1" si="8"/>
        <v>0.91069339699999996</v>
      </c>
      <c r="I37" s="42">
        <f t="shared" ca="1" si="9"/>
        <v>27800.529999999992</v>
      </c>
      <c r="J37" s="42">
        <f t="shared" ca="1" si="0"/>
        <v>1067.6500000000001</v>
      </c>
      <c r="K37" s="42">
        <f t="shared" ca="1" si="1"/>
        <v>198.23</v>
      </c>
      <c r="L37" s="42">
        <f ca="1">IF($E$7&gt;C37,ROUND($E$6/$H$97,2),IF($E$7=C37,J37+K37,"-"))</f>
        <v>1265.8800000000001</v>
      </c>
      <c r="M37" s="43">
        <f t="shared" ca="1" si="2"/>
        <v>26732.87999999999</v>
      </c>
      <c r="N37" s="48">
        <f ca="1">IF($E$7&gt;=C37,(IF(((Q37-(K37+(J36 * -1)+1))&lt;=0),1,((SUM(J$25:$J37)-(SUM($O$24:$O$26)))))),"-")</f>
        <v>11308.099999999999</v>
      </c>
      <c r="O37" s="45">
        <f ca="1">IF($E$7&gt;=C37,(IF((N37&lt;=0),1,((SUM($J$25:J37)-(SUM($O$24:O36)))))),"-")</f>
        <v>1067.6499999999996</v>
      </c>
      <c r="P37" s="42">
        <f t="shared" ca="1" si="3"/>
        <v>198.23000000000047</v>
      </c>
      <c r="Q37" s="46">
        <f t="shared" ca="1" si="10"/>
        <v>1265.8800000000001</v>
      </c>
      <c r="R37" s="47"/>
      <c r="S37" s="46">
        <f t="shared" ca="1" si="11"/>
        <v>0</v>
      </c>
      <c r="T37" s="47"/>
      <c r="U37" s="47">
        <f t="shared" ca="1" si="12"/>
        <v>1265.8800000000001</v>
      </c>
      <c r="V37" s="47"/>
      <c r="W37" s="47"/>
      <c r="X37" s="47"/>
      <c r="Y37" s="47"/>
      <c r="Z37" s="47"/>
      <c r="AA37" s="31">
        <v>13</v>
      </c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BA37" s="27">
        <f t="shared" ca="1" si="13"/>
        <v>46281</v>
      </c>
      <c r="BC37" s="26" t="str">
        <f t="shared" ca="1" si="14"/>
        <v>2026</v>
      </c>
      <c r="BD37" s="26" t="str">
        <f t="shared" ca="1" si="15"/>
        <v>09</v>
      </c>
      <c r="BE37" s="26">
        <f t="shared" ca="1" si="16"/>
        <v>16</v>
      </c>
      <c r="BF37" s="27" t="str">
        <f t="shared" ca="1" si="17"/>
        <v>miércoles</v>
      </c>
      <c r="BG37" s="27">
        <f t="shared" ca="1" si="18"/>
        <v>46281</v>
      </c>
      <c r="BK37" s="26" t="str">
        <f t="shared" ca="1" si="20"/>
        <v>2026</v>
      </c>
      <c r="BL37" s="26" t="str">
        <f t="shared" ca="1" si="23"/>
        <v>10</v>
      </c>
      <c r="BM37" s="26">
        <f t="shared" ca="1" si="22"/>
        <v>1</v>
      </c>
      <c r="BN37" s="26" t="str">
        <f t="shared" ca="1" si="19"/>
        <v>jueves</v>
      </c>
      <c r="BO37" s="27">
        <f t="shared" ca="1" si="4"/>
        <v>46296</v>
      </c>
    </row>
    <row r="38" spans="3:67" s="26" customFormat="1" ht="12">
      <c r="C38" s="38">
        <v>14</v>
      </c>
      <c r="D38" s="39">
        <f t="shared" ca="1" si="5"/>
        <v>46311</v>
      </c>
      <c r="E38" s="81">
        <f ca="1">IF($E$20="No",IF(BF38="sábado",IF($E$7&gt;=C38,BG38+$Q$19,"-"),IF($E$7&gt;=C38,D38+$Q$19,"-")),BO38)</f>
        <v>46327</v>
      </c>
      <c r="F38" s="77">
        <f t="shared" ca="1" si="6"/>
        <v>31</v>
      </c>
      <c r="G38" s="40">
        <f t="shared" ca="1" si="7"/>
        <v>426</v>
      </c>
      <c r="H38" s="41">
        <f t="shared" ca="1" si="8"/>
        <v>0.90403173400000003</v>
      </c>
      <c r="I38" s="42">
        <f t="shared" ca="1" si="9"/>
        <v>26732.87999999999</v>
      </c>
      <c r="J38" s="42">
        <f t="shared" ca="1" si="0"/>
        <v>1068.8900000000001</v>
      </c>
      <c r="K38" s="42">
        <f t="shared" ca="1" si="1"/>
        <v>196.99</v>
      </c>
      <c r="L38" s="42">
        <f ca="1">IF($E$7&gt;C38,ROUND($E$6/$H$97,2),IF($E$7=C38,J38+K38,"-"))</f>
        <v>1265.8800000000001</v>
      </c>
      <c r="M38" s="43">
        <f t="shared" ca="1" si="2"/>
        <v>25663.989999999991</v>
      </c>
      <c r="N38" s="48">
        <f ca="1">IF($E$7&gt;=C38,(IF(((Q38-(K38+(J37 * -1)+1))&lt;=0),1,((SUM(J$25:$J38)-(SUM($O$24:$O$26)))))),"-")</f>
        <v>12376.989999999998</v>
      </c>
      <c r="O38" s="45">
        <f ca="1">IF($E$7&gt;=C38,(IF((N38&lt;=0),1,((SUM($J$25:J38)-(SUM($O$24:O37)))))),"-")</f>
        <v>1068.8899999999994</v>
      </c>
      <c r="P38" s="42">
        <f t="shared" ca="1" si="3"/>
        <v>196.99000000000069</v>
      </c>
      <c r="Q38" s="46">
        <f t="shared" ca="1" si="10"/>
        <v>1265.8800000000001</v>
      </c>
      <c r="R38" s="47"/>
      <c r="S38" s="46">
        <f t="shared" ca="1" si="11"/>
        <v>0</v>
      </c>
      <c r="T38" s="47"/>
      <c r="U38" s="47">
        <f t="shared" ca="1" si="12"/>
        <v>1265.8800000000001</v>
      </c>
      <c r="V38" s="47"/>
      <c r="W38" s="47"/>
      <c r="X38" s="47"/>
      <c r="Y38" s="47"/>
      <c r="Z38" s="47"/>
      <c r="AA38" s="31">
        <v>14</v>
      </c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BA38" s="27">
        <f t="shared" ca="1" si="13"/>
        <v>46311</v>
      </c>
      <c r="BC38" s="26" t="str">
        <f t="shared" ca="1" si="14"/>
        <v>2026</v>
      </c>
      <c r="BD38" s="26" t="str">
        <f t="shared" ca="1" si="15"/>
        <v>10</v>
      </c>
      <c r="BE38" s="26">
        <f t="shared" ca="1" si="16"/>
        <v>16</v>
      </c>
      <c r="BF38" s="27" t="str">
        <f t="shared" ca="1" si="17"/>
        <v>viernes</v>
      </c>
      <c r="BG38" s="27">
        <f t="shared" ca="1" si="18"/>
        <v>46311</v>
      </c>
      <c r="BK38" s="26" t="str">
        <f t="shared" ca="1" si="20"/>
        <v>2026</v>
      </c>
      <c r="BL38" s="26" t="str">
        <f t="shared" ca="1" si="23"/>
        <v>11</v>
      </c>
      <c r="BM38" s="26">
        <f t="shared" ca="1" si="22"/>
        <v>1</v>
      </c>
      <c r="BN38" s="26" t="str">
        <f t="shared" ca="1" si="19"/>
        <v>domingo</v>
      </c>
      <c r="BO38" s="27">
        <f t="shared" ca="1" si="4"/>
        <v>46327</v>
      </c>
    </row>
    <row r="39" spans="3:67" s="26" customFormat="1" ht="12">
      <c r="C39" s="38">
        <v>15</v>
      </c>
      <c r="D39" s="39">
        <f t="shared" ca="1" si="5"/>
        <v>46342</v>
      </c>
      <c r="E39" s="81">
        <f ca="1">IF($E$20="No",IF(BF39="sábado",IF($E$7&gt;=C39,BG39+$Q$19,"-"),IF($E$7&gt;=C39,D39+$Q$19,"-")),BO39)</f>
        <v>46357</v>
      </c>
      <c r="F39" s="77">
        <f t="shared" ca="1" si="6"/>
        <v>30</v>
      </c>
      <c r="G39" s="40">
        <f t="shared" ca="1" si="7"/>
        <v>456</v>
      </c>
      <c r="H39" s="41">
        <f t="shared" ca="1" si="8"/>
        <v>0.89763136399999999</v>
      </c>
      <c r="I39" s="42">
        <f t="shared" ca="1" si="9"/>
        <v>25663.989999999991</v>
      </c>
      <c r="J39" s="42">
        <f t="shared" ca="1" si="0"/>
        <v>1082.8900000000001</v>
      </c>
      <c r="K39" s="42">
        <f t="shared" ca="1" si="1"/>
        <v>182.99</v>
      </c>
      <c r="L39" s="42">
        <f ca="1">IF($E$7&gt;C39,ROUND($E$6/$H$97,2),IF($E$7=C39,J39+K39,"-"))</f>
        <v>1265.8800000000001</v>
      </c>
      <c r="M39" s="43">
        <f t="shared" ca="1" si="2"/>
        <v>24581.099999999991</v>
      </c>
      <c r="N39" s="48">
        <f ca="1">IF($E$7&gt;=C39,(IF(((Q39-(K39+(J38 * -1)+1))&lt;=0),1,((SUM(J$25:$J39)-(SUM($O$24:$O$26)))))),"-")</f>
        <v>13459.879999999997</v>
      </c>
      <c r="O39" s="45">
        <f ca="1">IF($E$7&gt;=C39,(IF((N39&lt;=0),1,((SUM($J$25:J39)-(SUM($O$24:O38)))))),"-")</f>
        <v>1082.8899999999994</v>
      </c>
      <c r="P39" s="42">
        <f t="shared" ca="1" si="3"/>
        <v>182.99000000000069</v>
      </c>
      <c r="Q39" s="46">
        <f t="shared" ca="1" si="10"/>
        <v>1265.8800000000001</v>
      </c>
      <c r="R39" s="47"/>
      <c r="S39" s="46">
        <f t="shared" ca="1" si="11"/>
        <v>0</v>
      </c>
      <c r="T39" s="47"/>
      <c r="U39" s="47">
        <f t="shared" ca="1" si="12"/>
        <v>1265.8800000000001</v>
      </c>
      <c r="V39" s="47"/>
      <c r="W39" s="47"/>
      <c r="X39" s="47"/>
      <c r="Y39" s="47"/>
      <c r="Z39" s="47"/>
      <c r="AA39" s="31">
        <v>15</v>
      </c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BA39" s="27">
        <f t="shared" ca="1" si="13"/>
        <v>46342</v>
      </c>
      <c r="BC39" s="26" t="str">
        <f t="shared" ca="1" si="14"/>
        <v>2026</v>
      </c>
      <c r="BD39" s="26" t="str">
        <f t="shared" ca="1" si="15"/>
        <v>11</v>
      </c>
      <c r="BE39" s="26">
        <f t="shared" ca="1" si="16"/>
        <v>16</v>
      </c>
      <c r="BF39" s="27" t="str">
        <f t="shared" ca="1" si="17"/>
        <v>lunes</v>
      </c>
      <c r="BG39" s="27">
        <f t="shared" ca="1" si="18"/>
        <v>46342</v>
      </c>
      <c r="BK39" s="26" t="str">
        <f t="shared" ca="1" si="20"/>
        <v>2026</v>
      </c>
      <c r="BL39" s="26" t="str">
        <f t="shared" ca="1" si="23"/>
        <v>12</v>
      </c>
      <c r="BM39" s="26">
        <f t="shared" ca="1" si="22"/>
        <v>1</v>
      </c>
      <c r="BN39" s="26" t="str">
        <f t="shared" ca="1" si="19"/>
        <v>martes</v>
      </c>
      <c r="BO39" s="27">
        <f t="shared" ca="1" si="4"/>
        <v>46357</v>
      </c>
    </row>
    <row r="40" spans="3:67" s="26" customFormat="1" ht="12">
      <c r="C40" s="38">
        <v>16</v>
      </c>
      <c r="D40" s="39">
        <f t="shared" ca="1" si="5"/>
        <v>46372</v>
      </c>
      <c r="E40" s="81">
        <f ca="1">IF($E$20="No",IF(BF40="sábado",IF($E$7&gt;=C40,BG40+$Q$19,"-"),IF($E$7&gt;=C40,D40+$Q$19,"-")),BO40)</f>
        <v>46388</v>
      </c>
      <c r="F40" s="77">
        <f t="shared" ca="1" si="6"/>
        <v>31</v>
      </c>
      <c r="G40" s="40">
        <f t="shared" ca="1" si="7"/>
        <v>487</v>
      </c>
      <c r="H40" s="41">
        <f t="shared" ca="1" si="8"/>
        <v>0.89106525000000003</v>
      </c>
      <c r="I40" s="42">
        <f t="shared" ca="1" si="9"/>
        <v>24581.099999999991</v>
      </c>
      <c r="J40" s="42">
        <f t="shared" ca="1" si="0"/>
        <v>1084.75</v>
      </c>
      <c r="K40" s="42">
        <f t="shared" ca="1" si="1"/>
        <v>181.13</v>
      </c>
      <c r="L40" s="42">
        <f ca="1">IF($E$7&gt;C40,ROUND($E$6/$H$97,2),IF($E$7=C40,J40+K40,"-"))</f>
        <v>1265.8800000000001</v>
      </c>
      <c r="M40" s="43">
        <f t="shared" ca="1" si="2"/>
        <v>23496.349999999991</v>
      </c>
      <c r="N40" s="48">
        <f ca="1">IF($E$7&gt;=C40,(IF(((Q40-(K40+(J39 * -1)+1))&lt;=0),1,((SUM(J$25:$J40)-(SUM($O$24:$O$26)))))),"-")</f>
        <v>14544.629999999997</v>
      </c>
      <c r="O40" s="45">
        <f ca="1">IF($E$7&gt;=C40,(IF((N40&lt;=0),1,((SUM($J$25:J40)-(SUM($O$24:O39)))))),"-")</f>
        <v>1084.75</v>
      </c>
      <c r="P40" s="42">
        <f t="shared" ca="1" si="3"/>
        <v>181.13000000000011</v>
      </c>
      <c r="Q40" s="46">
        <f t="shared" ca="1" si="10"/>
        <v>1265.8800000000001</v>
      </c>
      <c r="R40" s="47"/>
      <c r="S40" s="46">
        <f t="shared" ca="1" si="11"/>
        <v>0</v>
      </c>
      <c r="T40" s="47"/>
      <c r="U40" s="47">
        <f t="shared" ca="1" si="12"/>
        <v>1265.8800000000001</v>
      </c>
      <c r="V40" s="47"/>
      <c r="W40" s="47"/>
      <c r="X40" s="47"/>
      <c r="Y40" s="47"/>
      <c r="Z40" s="47"/>
      <c r="AA40" s="31">
        <v>16</v>
      </c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BA40" s="27">
        <f t="shared" ca="1" si="13"/>
        <v>46372</v>
      </c>
      <c r="BC40" s="26" t="str">
        <f t="shared" ca="1" si="14"/>
        <v>2026</v>
      </c>
      <c r="BD40" s="26" t="str">
        <f t="shared" ca="1" si="15"/>
        <v>12</v>
      </c>
      <c r="BE40" s="26">
        <f t="shared" ca="1" si="16"/>
        <v>16</v>
      </c>
      <c r="BF40" s="27" t="str">
        <f t="shared" ca="1" si="17"/>
        <v>miércoles</v>
      </c>
      <c r="BG40" s="27">
        <f t="shared" ca="1" si="18"/>
        <v>46372</v>
      </c>
      <c r="BK40" s="26" t="str">
        <f t="shared" ca="1" si="20"/>
        <v>2027</v>
      </c>
      <c r="BL40" s="26" t="str">
        <f t="shared" ca="1" si="23"/>
        <v>01</v>
      </c>
      <c r="BM40" s="26">
        <f t="shared" ca="1" si="22"/>
        <v>1</v>
      </c>
      <c r="BN40" s="26" t="str">
        <f t="shared" ca="1" si="19"/>
        <v>viernes</v>
      </c>
      <c r="BO40" s="27">
        <f t="shared" ca="1" si="4"/>
        <v>46388</v>
      </c>
    </row>
    <row r="41" spans="3:67" s="26" customFormat="1" ht="12">
      <c r="C41" s="38">
        <v>17</v>
      </c>
      <c r="D41" s="39">
        <f t="shared" ca="1" si="5"/>
        <v>46402</v>
      </c>
      <c r="E41" s="81">
        <f ca="1">IF($E$20="No",IF(BF41="sábado",IF($E$7&gt;=C41,BG41+$Q$19,"-"),IF($E$7&gt;=C41,D41+$Q$19,"-")),BO41)</f>
        <v>46419</v>
      </c>
      <c r="F41" s="77">
        <f t="shared" ca="1" si="6"/>
        <v>31</v>
      </c>
      <c r="G41" s="40">
        <f t="shared" ca="1" si="7"/>
        <v>518</v>
      </c>
      <c r="H41" s="41">
        <f t="shared" ca="1" si="8"/>
        <v>0.88454716600000005</v>
      </c>
      <c r="I41" s="42">
        <f t="shared" ca="1" si="9"/>
        <v>23496.349999999991</v>
      </c>
      <c r="J41" s="42">
        <f t="shared" ca="1" si="0"/>
        <v>1092.7400000000002</v>
      </c>
      <c r="K41" s="42">
        <f t="shared" ca="1" si="1"/>
        <v>173.14</v>
      </c>
      <c r="L41" s="42">
        <f ca="1">IF($E$7&gt;C41,ROUND($E$6/$H$97,2),IF($E$7=C41,J41+K41,"-"))</f>
        <v>1265.8800000000001</v>
      </c>
      <c r="M41" s="43">
        <f t="shared" ca="1" si="2"/>
        <v>22403.60999999999</v>
      </c>
      <c r="N41" s="48">
        <f ca="1">IF($E$7&gt;=C41,(IF(((Q41-(K41+(J40 * -1)+1))&lt;=0),1,((SUM(J$25:$J41)-(SUM($O$24:$O$26)))))),"-")</f>
        <v>15637.369999999999</v>
      </c>
      <c r="O41" s="45">
        <f ca="1">IF($E$7&gt;=C41,(IF((N41&lt;=0),1,((SUM($J$25:J41)-(SUM($O$24:O40)))))),"-")</f>
        <v>1092.7400000000016</v>
      </c>
      <c r="P41" s="42">
        <f t="shared" ca="1" si="3"/>
        <v>173.13999999999851</v>
      </c>
      <c r="Q41" s="46">
        <f t="shared" ca="1" si="10"/>
        <v>1265.8800000000001</v>
      </c>
      <c r="R41" s="47"/>
      <c r="S41" s="46">
        <f t="shared" ca="1" si="11"/>
        <v>0</v>
      </c>
      <c r="T41" s="47"/>
      <c r="U41" s="47">
        <f t="shared" ca="1" si="12"/>
        <v>1265.8800000000001</v>
      </c>
      <c r="V41" s="47"/>
      <c r="W41" s="47"/>
      <c r="X41" s="47"/>
      <c r="Y41" s="47"/>
      <c r="Z41" s="47"/>
      <c r="AA41" s="31">
        <v>17</v>
      </c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BA41" s="27">
        <f t="shared" ca="1" si="13"/>
        <v>46402</v>
      </c>
      <c r="BC41" s="26" t="str">
        <f t="shared" ca="1" si="14"/>
        <v>2027</v>
      </c>
      <c r="BD41" s="26" t="str">
        <f t="shared" ca="1" si="15"/>
        <v>01</v>
      </c>
      <c r="BE41" s="26">
        <f t="shared" ca="1" si="16"/>
        <v>16</v>
      </c>
      <c r="BF41" s="27" t="str">
        <f t="shared" ca="1" si="17"/>
        <v>sábado</v>
      </c>
      <c r="BG41" s="27">
        <f t="shared" ca="1" si="18"/>
        <v>46403</v>
      </c>
      <c r="BK41" s="26" t="str">
        <f t="shared" ca="1" si="20"/>
        <v>2027</v>
      </c>
      <c r="BL41" s="26" t="str">
        <f t="shared" ca="1" si="23"/>
        <v>02</v>
      </c>
      <c r="BM41" s="26">
        <f t="shared" ca="1" si="22"/>
        <v>1</v>
      </c>
      <c r="BN41" s="26" t="str">
        <f t="shared" ca="1" si="19"/>
        <v>lunes</v>
      </c>
      <c r="BO41" s="27">
        <f t="shared" ca="1" si="4"/>
        <v>46419</v>
      </c>
    </row>
    <row r="42" spans="3:67" s="26" customFormat="1" ht="12">
      <c r="C42" s="38">
        <v>18</v>
      </c>
      <c r="D42" s="39">
        <f t="shared" ca="1" si="5"/>
        <v>46434</v>
      </c>
      <c r="E42" s="81">
        <f ca="1">IF($E$20="No",IF(BF42="sábado",IF($E$7&gt;=C42,BG42+$Q$19,"-"),IF($E$7&gt;=C42,D42+$Q$19,"-")),BO42)</f>
        <v>46447</v>
      </c>
      <c r="F42" s="77">
        <f t="shared" ca="1" si="6"/>
        <v>28</v>
      </c>
      <c r="G42" s="40">
        <f t="shared" ca="1" si="7"/>
        <v>546</v>
      </c>
      <c r="H42" s="41">
        <f t="shared" ca="1" si="8"/>
        <v>0.87870085499999995</v>
      </c>
      <c r="I42" s="42">
        <f t="shared" ca="1" si="9"/>
        <v>22403.60999999999</v>
      </c>
      <c r="J42" s="42">
        <f t="shared" ca="1" si="0"/>
        <v>1116.8200000000002</v>
      </c>
      <c r="K42" s="42">
        <f t="shared" ca="1" si="1"/>
        <v>149.06</v>
      </c>
      <c r="L42" s="42">
        <f ca="1">IF($E$7&gt;C42,ROUND($E$6/$H$97,2),IF($E$7=C42,J42+K42,"-"))</f>
        <v>1265.8800000000001</v>
      </c>
      <c r="M42" s="43">
        <f t="shared" ca="1" si="2"/>
        <v>21286.78999999999</v>
      </c>
      <c r="N42" s="48">
        <f ca="1">IF($E$7&gt;=C42,(IF(((Q42-(K42+(J41 * -1)+1))&lt;=0),1,((SUM(J$25:$J42)-(SUM($O$24:$O$26)))))),"-")</f>
        <v>16754.189999999999</v>
      </c>
      <c r="O42" s="45">
        <f ca="1">IF($E$7&gt;=C42,(IF((N42&lt;=0),1,((SUM($J$25:J42)-(SUM($O$24:O41)))))),"-")</f>
        <v>1116.8199999999997</v>
      </c>
      <c r="P42" s="42">
        <f t="shared" ca="1" si="3"/>
        <v>149.0600000000004</v>
      </c>
      <c r="Q42" s="46">
        <f t="shared" ca="1" si="10"/>
        <v>1265.8800000000001</v>
      </c>
      <c r="R42" s="47"/>
      <c r="S42" s="46">
        <f t="shared" ca="1" si="11"/>
        <v>0</v>
      </c>
      <c r="T42" s="47"/>
      <c r="U42" s="47">
        <f t="shared" ca="1" si="12"/>
        <v>1265.8800000000001</v>
      </c>
      <c r="V42" s="47"/>
      <c r="W42" s="47"/>
      <c r="X42" s="47"/>
      <c r="Y42" s="47"/>
      <c r="Z42" s="47"/>
      <c r="AA42" s="31">
        <v>18</v>
      </c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BA42" s="27">
        <f t="shared" ca="1" si="13"/>
        <v>46434</v>
      </c>
      <c r="BC42" s="26" t="str">
        <f t="shared" ca="1" si="14"/>
        <v>2027</v>
      </c>
      <c r="BD42" s="26" t="str">
        <f t="shared" ca="1" si="15"/>
        <v>02</v>
      </c>
      <c r="BE42" s="26">
        <f t="shared" ca="1" si="16"/>
        <v>16</v>
      </c>
      <c r="BF42" s="27" t="str">
        <f t="shared" ca="1" si="17"/>
        <v>martes</v>
      </c>
      <c r="BG42" s="27">
        <f t="shared" ca="1" si="18"/>
        <v>46434</v>
      </c>
      <c r="BK42" s="26" t="str">
        <f t="shared" ca="1" si="20"/>
        <v>2027</v>
      </c>
      <c r="BL42" s="26" t="str">
        <f t="shared" ca="1" si="23"/>
        <v>03</v>
      </c>
      <c r="BM42" s="26">
        <f t="shared" ca="1" si="22"/>
        <v>1</v>
      </c>
      <c r="BN42" s="26" t="str">
        <f t="shared" ca="1" si="19"/>
        <v>lunes</v>
      </c>
      <c r="BO42" s="27">
        <f t="shared" ca="1" si="4"/>
        <v>46447</v>
      </c>
    </row>
    <row r="43" spans="3:67" s="26" customFormat="1" ht="12">
      <c r="C43" s="38">
        <v>19</v>
      </c>
      <c r="D43" s="39">
        <f t="shared" ca="1" si="5"/>
        <v>46462</v>
      </c>
      <c r="E43" s="81">
        <f ca="1">IF($E$20="No",IF(BF43="sábado",IF($E$7&gt;=C43,BG43+$Q$19,"-"),IF($E$7&gt;=C43,D43+$Q$19,"-")),BO43)</f>
        <v>46478</v>
      </c>
      <c r="F43" s="77">
        <f t="shared" ca="1" si="6"/>
        <v>31</v>
      </c>
      <c r="G43" s="40">
        <f t="shared" ca="1" si="7"/>
        <v>577</v>
      </c>
      <c r="H43" s="41">
        <f t="shared" ca="1" si="8"/>
        <v>0.87227321599999996</v>
      </c>
      <c r="I43" s="42">
        <f t="shared" ca="1" si="9"/>
        <v>21286.78999999999</v>
      </c>
      <c r="J43" s="42">
        <f t="shared" ca="1" si="0"/>
        <v>1109.02</v>
      </c>
      <c r="K43" s="42">
        <f t="shared" ca="1" si="1"/>
        <v>156.86000000000001</v>
      </c>
      <c r="L43" s="42">
        <f ca="1">IF($E$7&gt;C43,ROUND($E$6/$H$97,2),IF($E$7=C43,J43+K43,"-"))</f>
        <v>1265.8800000000001</v>
      </c>
      <c r="M43" s="43">
        <f t="shared" ca="1" si="2"/>
        <v>20177.76999999999</v>
      </c>
      <c r="N43" s="48">
        <f ca="1">IF($E$7&gt;=C43,(IF(((Q43-(K43+(J42 * -1)+1))&lt;=0),1,((SUM(J$25:$J43)-(SUM($O$24:$O$26)))))),"-")</f>
        <v>17863.21</v>
      </c>
      <c r="O43" s="45">
        <f ca="1">IF($E$7&gt;=C43,(IF((N43&lt;=0),1,((SUM($J$25:J43)-(SUM($O$24:O42)))))),"-")</f>
        <v>1109.0200000000004</v>
      </c>
      <c r="P43" s="42">
        <f t="shared" ca="1" si="3"/>
        <v>156.85999999999967</v>
      </c>
      <c r="Q43" s="46">
        <f t="shared" ca="1" si="10"/>
        <v>1265.8800000000001</v>
      </c>
      <c r="R43" s="47"/>
      <c r="S43" s="46">
        <f t="shared" ca="1" si="11"/>
        <v>0</v>
      </c>
      <c r="T43" s="47"/>
      <c r="U43" s="47">
        <f t="shared" ca="1" si="12"/>
        <v>1265.8800000000001</v>
      </c>
      <c r="V43" s="47"/>
      <c r="W43" s="47"/>
      <c r="X43" s="47"/>
      <c r="Y43" s="47"/>
      <c r="Z43" s="47"/>
      <c r="AA43" s="31">
        <v>19</v>
      </c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BA43" s="27">
        <f t="shared" ca="1" si="13"/>
        <v>46462</v>
      </c>
      <c r="BC43" s="26" t="str">
        <f t="shared" ca="1" si="14"/>
        <v>2027</v>
      </c>
      <c r="BD43" s="26" t="str">
        <f t="shared" ca="1" si="15"/>
        <v>03</v>
      </c>
      <c r="BE43" s="26">
        <f t="shared" ca="1" si="16"/>
        <v>16</v>
      </c>
      <c r="BF43" s="27" t="str">
        <f t="shared" ca="1" si="17"/>
        <v>martes</v>
      </c>
      <c r="BG43" s="27">
        <f t="shared" ca="1" si="18"/>
        <v>46462</v>
      </c>
      <c r="BK43" s="26" t="str">
        <f t="shared" ca="1" si="20"/>
        <v>2027</v>
      </c>
      <c r="BL43" s="26" t="str">
        <f t="shared" ca="1" si="23"/>
        <v>04</v>
      </c>
      <c r="BM43" s="26">
        <f t="shared" ca="1" si="22"/>
        <v>1</v>
      </c>
      <c r="BN43" s="26" t="str">
        <f t="shared" ca="1" si="19"/>
        <v>jueves</v>
      </c>
      <c r="BO43" s="27">
        <f t="shared" ca="1" si="4"/>
        <v>46478</v>
      </c>
    </row>
    <row r="44" spans="3:67" s="26" customFormat="1" ht="12">
      <c r="C44" s="38">
        <v>20</v>
      </c>
      <c r="D44" s="39">
        <f t="shared" ca="1" si="5"/>
        <v>46493</v>
      </c>
      <c r="E44" s="81">
        <f ca="1">IF($E$20="No",IF(BF44="sábado",IF($E$7&gt;=C44,BG44+$Q$19,"-"),IF($E$7&gt;=C44,D44+$Q$19,"-")),BO44)</f>
        <v>46508</v>
      </c>
      <c r="F44" s="77">
        <f t="shared" ca="1" si="6"/>
        <v>30</v>
      </c>
      <c r="G44" s="40">
        <f t="shared" ca="1" si="7"/>
        <v>607</v>
      </c>
      <c r="H44" s="41">
        <f t="shared" ca="1" si="8"/>
        <v>0.86609769000000003</v>
      </c>
      <c r="I44" s="42">
        <f t="shared" ca="1" si="9"/>
        <v>20177.76999999999</v>
      </c>
      <c r="J44" s="42">
        <f t="shared" ca="1" si="0"/>
        <v>1122.0100000000002</v>
      </c>
      <c r="K44" s="42">
        <f t="shared" ca="1" si="1"/>
        <v>143.87</v>
      </c>
      <c r="L44" s="42">
        <f ca="1">IF($E$7&gt;C44,ROUND($E$6/$H$97,2),IF($E$7=C44,J44+K44,"-"))</f>
        <v>1265.8800000000001</v>
      </c>
      <c r="M44" s="43">
        <f t="shared" ca="1" si="2"/>
        <v>19055.759999999987</v>
      </c>
      <c r="N44" s="48">
        <f ca="1">IF($E$7&gt;=C44,(IF(((Q44-(K44+(J43 * -1)+1))&lt;=0),1,((SUM(J$25:$J44)-(SUM($O$24:$O$26)))))),"-")</f>
        <v>18985.219999999998</v>
      </c>
      <c r="O44" s="45">
        <f ca="1">IF($E$7&gt;=C44,(IF((N44&lt;=0),1,((SUM($J$25:J44)-(SUM($O$24:O43)))))),"-")</f>
        <v>1122.0099999999984</v>
      </c>
      <c r="P44" s="42">
        <f t="shared" ca="1" si="3"/>
        <v>143.87000000000171</v>
      </c>
      <c r="Q44" s="46">
        <f t="shared" ca="1" si="10"/>
        <v>1265.8800000000001</v>
      </c>
      <c r="R44" s="47"/>
      <c r="S44" s="46">
        <f t="shared" ca="1" si="11"/>
        <v>0</v>
      </c>
      <c r="T44" s="47"/>
      <c r="U44" s="47">
        <f t="shared" ca="1" si="12"/>
        <v>1265.8800000000001</v>
      </c>
      <c r="V44" s="47"/>
      <c r="W44" s="47"/>
      <c r="X44" s="47"/>
      <c r="Y44" s="47"/>
      <c r="Z44" s="47"/>
      <c r="AA44" s="31">
        <v>20</v>
      </c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BA44" s="27">
        <f t="shared" ca="1" si="13"/>
        <v>46493</v>
      </c>
      <c r="BC44" s="26" t="str">
        <f t="shared" ca="1" si="14"/>
        <v>2027</v>
      </c>
      <c r="BD44" s="26" t="str">
        <f t="shared" ca="1" si="15"/>
        <v>04</v>
      </c>
      <c r="BE44" s="26">
        <f t="shared" ca="1" si="16"/>
        <v>16</v>
      </c>
      <c r="BF44" s="27" t="str">
        <f t="shared" ca="1" si="17"/>
        <v>viernes</v>
      </c>
      <c r="BG44" s="27">
        <f t="shared" ca="1" si="18"/>
        <v>46493</v>
      </c>
      <c r="BK44" s="26" t="str">
        <f t="shared" ca="1" si="20"/>
        <v>2027</v>
      </c>
      <c r="BL44" s="26" t="str">
        <f t="shared" ca="1" si="23"/>
        <v>05</v>
      </c>
      <c r="BM44" s="26">
        <f t="shared" ca="1" si="22"/>
        <v>1</v>
      </c>
      <c r="BN44" s="26" t="str">
        <f t="shared" ca="1" si="19"/>
        <v>sábado</v>
      </c>
      <c r="BO44" s="27">
        <f t="shared" ca="1" si="4"/>
        <v>46508</v>
      </c>
    </row>
    <row r="45" spans="3:67" s="26" customFormat="1" ht="12">
      <c r="C45" s="38">
        <v>21</v>
      </c>
      <c r="D45" s="39">
        <f t="shared" ca="1" si="5"/>
        <v>46523</v>
      </c>
      <c r="E45" s="81">
        <f ca="1">IF($E$20="No",IF(BF45="sábado",IF($E$7&gt;=C45,BG45+$Q$19,"-"),IF($E$7&gt;=C45,D45+$Q$19,"-")),BO45)</f>
        <v>46539</v>
      </c>
      <c r="F45" s="77">
        <f t="shared" ca="1" si="6"/>
        <v>31</v>
      </c>
      <c r="G45" s="40">
        <f t="shared" ca="1" si="7"/>
        <v>638</v>
      </c>
      <c r="H45" s="41">
        <f t="shared" ca="1" si="8"/>
        <v>0.85976224300000004</v>
      </c>
      <c r="I45" s="42">
        <f t="shared" ca="1" si="9"/>
        <v>19055.759999999987</v>
      </c>
      <c r="J45" s="42">
        <f t="shared" ca="1" si="0"/>
        <v>1125.46</v>
      </c>
      <c r="K45" s="42">
        <f t="shared" ca="1" si="1"/>
        <v>140.41999999999999</v>
      </c>
      <c r="L45" s="42">
        <f ca="1">IF($E$7&gt;C45,ROUND($E$6/$H$97,2),IF($E$7=C45,J45+K45,"-"))</f>
        <v>1265.8800000000001</v>
      </c>
      <c r="M45" s="43">
        <f t="shared" ca="1" si="2"/>
        <v>17930.299999999988</v>
      </c>
      <c r="N45" s="48">
        <f ca="1">IF($E$7&gt;=C45,(IF(((Q45-(K45+(J44 * -1)+1))&lt;=0),1,((SUM(J$25:$J45)-(SUM($O$24:$O$26)))))),"-")</f>
        <v>20110.679999999997</v>
      </c>
      <c r="O45" s="45">
        <f ca="1">IF($E$7&gt;=C45,(IF((N45&lt;=0),1,((SUM($J$25:J45)-(SUM($O$24:O44)))))),"-")</f>
        <v>1125.4599999999991</v>
      </c>
      <c r="P45" s="42">
        <f t="shared" ca="1" si="3"/>
        <v>140.42000000000098</v>
      </c>
      <c r="Q45" s="46">
        <f t="shared" ca="1" si="10"/>
        <v>1265.8800000000001</v>
      </c>
      <c r="R45" s="47"/>
      <c r="S45" s="46">
        <f t="shared" ca="1" si="11"/>
        <v>0</v>
      </c>
      <c r="T45" s="47"/>
      <c r="U45" s="47">
        <f t="shared" ca="1" si="12"/>
        <v>1265.8800000000001</v>
      </c>
      <c r="V45" s="47"/>
      <c r="W45" s="47"/>
      <c r="X45" s="47"/>
      <c r="Y45" s="47"/>
      <c r="Z45" s="47"/>
      <c r="AA45" s="31">
        <v>21</v>
      </c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BA45" s="27">
        <f t="shared" ca="1" si="13"/>
        <v>46523</v>
      </c>
      <c r="BC45" s="26" t="str">
        <f t="shared" ca="1" si="14"/>
        <v>2027</v>
      </c>
      <c r="BD45" s="26" t="str">
        <f t="shared" ca="1" si="15"/>
        <v>05</v>
      </c>
      <c r="BE45" s="26">
        <f t="shared" ca="1" si="16"/>
        <v>16</v>
      </c>
      <c r="BF45" s="27" t="str">
        <f t="shared" ca="1" si="17"/>
        <v>domingo</v>
      </c>
      <c r="BG45" s="27">
        <f t="shared" ca="1" si="18"/>
        <v>46523</v>
      </c>
      <c r="BK45" s="26" t="str">
        <f t="shared" ca="1" si="20"/>
        <v>2027</v>
      </c>
      <c r="BL45" s="26" t="str">
        <f t="shared" ca="1" si="23"/>
        <v>06</v>
      </c>
      <c r="BM45" s="26">
        <f t="shared" ca="1" si="22"/>
        <v>1</v>
      </c>
      <c r="BN45" s="26" t="str">
        <f t="shared" ca="1" si="19"/>
        <v>martes</v>
      </c>
      <c r="BO45" s="27">
        <f t="shared" ca="1" si="4"/>
        <v>46539</v>
      </c>
    </row>
    <row r="46" spans="3:67" s="26" customFormat="1" ht="12">
      <c r="C46" s="38">
        <v>22</v>
      </c>
      <c r="D46" s="39">
        <f t="shared" ca="1" si="5"/>
        <v>46554</v>
      </c>
      <c r="E46" s="81">
        <f ca="1">IF($E$20="No",IF(BF46="sábado",IF($E$7&gt;=C46,BG46+$Q$19,"-"),IF($E$7&gt;=C46,D46+$Q$19,"-")),BO46)</f>
        <v>46569</v>
      </c>
      <c r="F46" s="77">
        <f t="shared" ca="1" si="6"/>
        <v>30</v>
      </c>
      <c r="G46" s="40">
        <f t="shared" ca="1" si="7"/>
        <v>668</v>
      </c>
      <c r="H46" s="41">
        <f t="shared" ca="1" si="8"/>
        <v>0.85367529200000003</v>
      </c>
      <c r="I46" s="42">
        <f t="shared" ca="1" si="9"/>
        <v>17930.299999999988</v>
      </c>
      <c r="J46" s="42">
        <f t="shared" ca="1" si="0"/>
        <v>1138.0300000000002</v>
      </c>
      <c r="K46" s="42">
        <f t="shared" ca="1" si="1"/>
        <v>127.85</v>
      </c>
      <c r="L46" s="42">
        <f ca="1">IF($E$7&gt;C46,ROUND($E$6/$H$97,2),IF($E$7=C46,J46+K46,"-"))</f>
        <v>1265.8800000000001</v>
      </c>
      <c r="M46" s="43">
        <f t="shared" ca="1" si="2"/>
        <v>16792.26999999999</v>
      </c>
      <c r="N46" s="48">
        <f ca="1">IF($E$7&gt;=C46,(IF(((Q46-(K46+(J45 * -1)+1))&lt;=0),1,((SUM(J$25:$J46)-(SUM($O$24:$O$26)))))),"-")</f>
        <v>21248.709999999995</v>
      </c>
      <c r="O46" s="45">
        <f ca="1">IF($E$7&gt;=C46,(IF((N46&lt;=0),1,((SUM($J$25:J46)-(SUM($O$24:O45)))))),"-")</f>
        <v>1138.0299999999988</v>
      </c>
      <c r="P46" s="42">
        <f t="shared" ca="1" si="3"/>
        <v>127.85000000000127</v>
      </c>
      <c r="Q46" s="46">
        <f t="shared" ca="1" si="10"/>
        <v>1265.8800000000001</v>
      </c>
      <c r="R46" s="47"/>
      <c r="S46" s="46">
        <f t="shared" ca="1" si="11"/>
        <v>0</v>
      </c>
      <c r="T46" s="47"/>
      <c r="U46" s="47">
        <f t="shared" ca="1" si="12"/>
        <v>1265.8800000000001</v>
      </c>
      <c r="V46" s="47"/>
      <c r="W46" s="47"/>
      <c r="X46" s="47"/>
      <c r="Y46" s="47"/>
      <c r="Z46" s="47"/>
      <c r="AA46" s="31">
        <v>22</v>
      </c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BA46" s="27">
        <f t="shared" ca="1" si="13"/>
        <v>46554</v>
      </c>
      <c r="BC46" s="26" t="str">
        <f t="shared" ca="1" si="14"/>
        <v>2027</v>
      </c>
      <c r="BD46" s="26" t="str">
        <f t="shared" ca="1" si="15"/>
        <v>06</v>
      </c>
      <c r="BE46" s="26">
        <f t="shared" ca="1" si="16"/>
        <v>16</v>
      </c>
      <c r="BF46" s="27" t="str">
        <f t="shared" ca="1" si="17"/>
        <v>miércoles</v>
      </c>
      <c r="BG46" s="27">
        <f t="shared" ca="1" si="18"/>
        <v>46554</v>
      </c>
      <c r="BK46" s="26" t="str">
        <f t="shared" ca="1" si="20"/>
        <v>2027</v>
      </c>
      <c r="BL46" s="26" t="str">
        <f t="shared" ca="1" si="23"/>
        <v>07</v>
      </c>
      <c r="BM46" s="26">
        <f t="shared" ca="1" si="22"/>
        <v>1</v>
      </c>
      <c r="BN46" s="26" t="str">
        <f t="shared" ca="1" si="19"/>
        <v>jueves</v>
      </c>
      <c r="BO46" s="27">
        <f t="shared" ca="1" si="4"/>
        <v>46569</v>
      </c>
    </row>
    <row r="47" spans="3:67" s="26" customFormat="1" ht="12">
      <c r="C47" s="38">
        <v>23</v>
      </c>
      <c r="D47" s="39">
        <f t="shared" ca="1" si="5"/>
        <v>46584</v>
      </c>
      <c r="E47" s="81">
        <f ca="1">IF($E$20="No",IF(BF47="sábado",IF($E$7&gt;=C47,BG47+$Q$19,"-"),IF($E$7&gt;=C47,D47+$Q$19,"-")),BO47)</f>
        <v>46600</v>
      </c>
      <c r="F47" s="77">
        <f t="shared" ca="1" si="6"/>
        <v>31</v>
      </c>
      <c r="G47" s="40">
        <f t="shared" ca="1" si="7"/>
        <v>699</v>
      </c>
      <c r="H47" s="41">
        <f t="shared" ca="1" si="8"/>
        <v>0.84743071400000003</v>
      </c>
      <c r="I47" s="42">
        <f t="shared" ca="1" si="9"/>
        <v>16792.26999999999</v>
      </c>
      <c r="J47" s="42">
        <f t="shared" ca="1" si="0"/>
        <v>1142.1400000000001</v>
      </c>
      <c r="K47" s="42">
        <f t="shared" ca="1" si="1"/>
        <v>123.74</v>
      </c>
      <c r="L47" s="42">
        <f ca="1">IF($E$7&gt;C47,ROUND($E$6/$H$97,2),IF($E$7=C47,J47+K47,"-"))</f>
        <v>1265.8800000000001</v>
      </c>
      <c r="M47" s="43">
        <f t="shared" ca="1" si="2"/>
        <v>15650.12999999999</v>
      </c>
      <c r="N47" s="48">
        <f ca="1">IF($E$7&gt;=C47,(IF(((Q47-(K47+(J46 * -1)+1))&lt;=0),1,((SUM(J$25:$J47)-(SUM($O$24:$O$26)))))),"-")</f>
        <v>22390.849999999995</v>
      </c>
      <c r="O47" s="45">
        <f ca="1">IF($E$7&gt;=C47,(IF((N47&lt;=0),1,((SUM($J$25:J47)-(SUM($O$24:O46)))))),"-")</f>
        <v>1142.1399999999994</v>
      </c>
      <c r="P47" s="42">
        <f t="shared" ca="1" si="3"/>
        <v>123.74000000000069</v>
      </c>
      <c r="Q47" s="46">
        <f t="shared" ca="1" si="10"/>
        <v>1265.8800000000001</v>
      </c>
      <c r="R47" s="47"/>
      <c r="S47" s="46">
        <f t="shared" ca="1" si="11"/>
        <v>0</v>
      </c>
      <c r="T47" s="47"/>
      <c r="U47" s="47">
        <f t="shared" ca="1" si="12"/>
        <v>1265.8800000000001</v>
      </c>
      <c r="V47" s="47"/>
      <c r="W47" s="47"/>
      <c r="X47" s="47"/>
      <c r="Y47" s="47"/>
      <c r="Z47" s="47"/>
      <c r="AA47" s="31">
        <v>23</v>
      </c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BA47" s="27">
        <f t="shared" ca="1" si="13"/>
        <v>46584</v>
      </c>
      <c r="BC47" s="26" t="str">
        <f t="shared" ca="1" si="14"/>
        <v>2027</v>
      </c>
      <c r="BD47" s="26" t="str">
        <f t="shared" ca="1" si="15"/>
        <v>07</v>
      </c>
      <c r="BE47" s="26">
        <f t="shared" ca="1" si="16"/>
        <v>16</v>
      </c>
      <c r="BF47" s="27" t="str">
        <f t="shared" ca="1" si="17"/>
        <v>viernes</v>
      </c>
      <c r="BG47" s="27">
        <f t="shared" ca="1" si="18"/>
        <v>46584</v>
      </c>
      <c r="BK47" s="26" t="str">
        <f t="shared" ca="1" si="20"/>
        <v>2027</v>
      </c>
      <c r="BL47" s="26" t="str">
        <f t="shared" ca="1" si="23"/>
        <v>08</v>
      </c>
      <c r="BM47" s="26">
        <f t="shared" ca="1" si="22"/>
        <v>1</v>
      </c>
      <c r="BN47" s="26" t="str">
        <f t="shared" ca="1" si="19"/>
        <v>domingo</v>
      </c>
      <c r="BO47" s="27">
        <f t="shared" ca="1" si="4"/>
        <v>46600</v>
      </c>
    </row>
    <row r="48" spans="3:67" s="26" customFormat="1" ht="12">
      <c r="C48" s="38">
        <v>24</v>
      </c>
      <c r="D48" s="39">
        <f t="shared" ca="1" si="5"/>
        <v>46615</v>
      </c>
      <c r="E48" s="81">
        <f ca="1">IF($E$20="No",IF(BF48="sábado",IF($E$7&gt;=C48,BG48+$Q$19,"-"),IF($E$7&gt;=C48,D48+$Q$19,"-")),BO48)</f>
        <v>46631</v>
      </c>
      <c r="F48" s="77">
        <f t="shared" ca="1" si="6"/>
        <v>31</v>
      </c>
      <c r="G48" s="40">
        <f t="shared" ca="1" si="7"/>
        <v>730</v>
      </c>
      <c r="H48" s="41">
        <f t="shared" ca="1" si="8"/>
        <v>0.84123181300000005</v>
      </c>
      <c r="I48" s="42">
        <f t="shared" ca="1" si="9"/>
        <v>15650.12999999999</v>
      </c>
      <c r="J48" s="42">
        <f t="shared" ca="1" si="0"/>
        <v>1150.5600000000002</v>
      </c>
      <c r="K48" s="42">
        <f t="shared" ca="1" si="1"/>
        <v>115.32</v>
      </c>
      <c r="L48" s="42">
        <f ca="1">IF($E$7&gt;C48,ROUND($E$6/$H$97,2),IF($E$7=C48,J48+K48,"-"))</f>
        <v>1265.8800000000001</v>
      </c>
      <c r="M48" s="43">
        <f t="shared" ca="1" si="2"/>
        <v>14499.569999999991</v>
      </c>
      <c r="N48" s="48">
        <f ca="1">IF($E$7&gt;=C48,(IF(((Q48-(K48+(J47 * -1)+1))&lt;=0),1,((SUM(J$25:$J48)-(SUM($O$24:$O$26)))))),"-")</f>
        <v>23541.409999999996</v>
      </c>
      <c r="O48" s="45">
        <f ca="1">IF($E$7&gt;=C48,(IF((N48&lt;=0),1,((SUM($J$25:J48)-(SUM($O$24:O47)))))),"-")</f>
        <v>1150.5600000000013</v>
      </c>
      <c r="P48" s="42">
        <f t="shared" ca="1" si="3"/>
        <v>115.3199999999988</v>
      </c>
      <c r="Q48" s="46">
        <f t="shared" ca="1" si="10"/>
        <v>1265.8800000000001</v>
      </c>
      <c r="R48" s="47"/>
      <c r="S48" s="46">
        <f t="shared" ca="1" si="11"/>
        <v>0</v>
      </c>
      <c r="T48" s="47"/>
      <c r="U48" s="47">
        <f ca="1">+IF($E$7&gt;=C48,+Q48+S48,"-")</f>
        <v>1265.8800000000001</v>
      </c>
      <c r="V48" s="47"/>
      <c r="W48" s="47"/>
      <c r="X48" s="47"/>
      <c r="Y48" s="47"/>
      <c r="Z48" s="47"/>
      <c r="AA48" s="31">
        <v>24</v>
      </c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BA48" s="27">
        <f t="shared" ca="1" si="13"/>
        <v>46615</v>
      </c>
      <c r="BC48" s="26" t="str">
        <f t="shared" ca="1" si="14"/>
        <v>2027</v>
      </c>
      <c r="BD48" s="26" t="str">
        <f t="shared" ca="1" si="15"/>
        <v>08</v>
      </c>
      <c r="BE48" s="26">
        <f t="shared" ca="1" si="16"/>
        <v>16</v>
      </c>
      <c r="BF48" s="27" t="str">
        <f t="shared" ca="1" si="17"/>
        <v>lunes</v>
      </c>
      <c r="BG48" s="27">
        <f t="shared" ca="1" si="18"/>
        <v>46615</v>
      </c>
      <c r="BK48" s="26" t="str">
        <f t="shared" ca="1" si="20"/>
        <v>2027</v>
      </c>
      <c r="BL48" s="26" t="str">
        <f t="shared" ca="1" si="23"/>
        <v>09</v>
      </c>
      <c r="BM48" s="26">
        <f t="shared" ca="1" si="22"/>
        <v>1</v>
      </c>
      <c r="BN48" s="26" t="str">
        <f t="shared" ca="1" si="19"/>
        <v>miércoles</v>
      </c>
      <c r="BO48" s="27">
        <f t="shared" ca="1" si="4"/>
        <v>46631</v>
      </c>
    </row>
    <row r="49" spans="3:67" s="26" customFormat="1" ht="12">
      <c r="C49" s="38">
        <v>25</v>
      </c>
      <c r="D49" s="39">
        <f t="shared" ca="1" si="5"/>
        <v>46646</v>
      </c>
      <c r="E49" s="81">
        <f ca="1">IF($E$20="No",IF(BF49="sábado",IF($E$7&gt;=C49,BG49+$Q$19,"-"),IF($E$7&gt;=C49,D49+$Q$19,"-")),BO49)</f>
        <v>46661</v>
      </c>
      <c r="F49" s="77">
        <f t="shared" ca="1" si="6"/>
        <v>30</v>
      </c>
      <c r="G49" s="40">
        <f t="shared" ca="1" si="7"/>
        <v>760</v>
      </c>
      <c r="H49" s="41">
        <f t="shared" ca="1" si="8"/>
        <v>0.83527605500000002</v>
      </c>
      <c r="I49" s="42">
        <f t="shared" ca="1" si="9"/>
        <v>14499.569999999991</v>
      </c>
      <c r="J49" s="42">
        <f t="shared" ca="1" si="0"/>
        <v>1162.49</v>
      </c>
      <c r="K49" s="42">
        <f t="shared" ca="1" si="1"/>
        <v>103.39</v>
      </c>
      <c r="L49" s="42">
        <f ca="1">IF($E$7&gt;C49,ROUND($E$6/$H$97,2),IF($E$7=C49,J49+K49,"-"))</f>
        <v>1265.8800000000001</v>
      </c>
      <c r="M49" s="43">
        <f t="shared" ca="1" si="2"/>
        <v>13337.079999999991</v>
      </c>
      <c r="N49" s="48">
        <f ca="1">IF($E$7&gt;=C49,(IF(((Q49-(K49+(J48 * -1)+1))&lt;=0),1,((SUM(J$25:$J49)-(SUM($O$24:$O$26)))))),"-")</f>
        <v>24703.899999999998</v>
      </c>
      <c r="O49" s="45">
        <f ca="1">IF($E$7&gt;=C49,(IF((N49&lt;=0),1,((SUM($J$25:J49)-(SUM($O$24:O48)))))),"-")</f>
        <v>1162.4900000000016</v>
      </c>
      <c r="P49" s="42">
        <f t="shared" ca="1" si="3"/>
        <v>103.38999999999851</v>
      </c>
      <c r="Q49" s="46">
        <f t="shared" ca="1" si="10"/>
        <v>1265.8800000000001</v>
      </c>
      <c r="R49" s="47"/>
      <c r="S49" s="46">
        <f t="shared" ca="1" si="11"/>
        <v>0</v>
      </c>
      <c r="T49" s="47"/>
      <c r="U49" s="47">
        <f t="shared" ca="1" si="12"/>
        <v>1265.8800000000001</v>
      </c>
      <c r="V49" s="47"/>
      <c r="W49" s="47"/>
      <c r="X49" s="47"/>
      <c r="Y49" s="47"/>
      <c r="Z49" s="47"/>
      <c r="AA49" s="31">
        <v>25</v>
      </c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BA49" s="27">
        <f t="shared" ca="1" si="13"/>
        <v>46646</v>
      </c>
      <c r="BC49" s="26" t="str">
        <f t="shared" ca="1" si="14"/>
        <v>2027</v>
      </c>
      <c r="BD49" s="26" t="str">
        <f t="shared" ca="1" si="15"/>
        <v>09</v>
      </c>
      <c r="BE49" s="26">
        <f t="shared" ca="1" si="16"/>
        <v>16</v>
      </c>
      <c r="BF49" s="27" t="str">
        <f t="shared" ca="1" si="17"/>
        <v>jueves</v>
      </c>
      <c r="BG49" s="27">
        <f t="shared" ca="1" si="18"/>
        <v>46646</v>
      </c>
      <c r="BK49" s="26" t="str">
        <f t="shared" ca="1" si="20"/>
        <v>2027</v>
      </c>
      <c r="BL49" s="26" t="str">
        <f t="shared" ca="1" si="23"/>
        <v>10</v>
      </c>
      <c r="BM49" s="26">
        <f t="shared" ca="1" si="22"/>
        <v>1</v>
      </c>
      <c r="BN49" s="26" t="str">
        <f t="shared" ca="1" si="19"/>
        <v>viernes</v>
      </c>
      <c r="BO49" s="27">
        <f t="shared" ca="1" si="4"/>
        <v>46661</v>
      </c>
    </row>
    <row r="50" spans="3:67" s="26" customFormat="1" ht="12">
      <c r="C50" s="38">
        <v>26</v>
      </c>
      <c r="D50" s="39">
        <f t="shared" ca="1" si="5"/>
        <v>46675</v>
      </c>
      <c r="E50" s="81">
        <f ca="1">IF($E$20="No",IF(BF50="sábado",IF($E$7&gt;=C50,BG50+$Q$19,"-"),IF($E$7&gt;=C50,D50+$Q$19,"-")),BO50)</f>
        <v>46692</v>
      </c>
      <c r="F50" s="77">
        <f t="shared" ca="1" si="6"/>
        <v>31</v>
      </c>
      <c r="G50" s="40">
        <f t="shared" ca="1" si="7"/>
        <v>791</v>
      </c>
      <c r="H50" s="41">
        <f t="shared" ca="1" si="8"/>
        <v>0.82916606500000001</v>
      </c>
      <c r="I50" s="42">
        <f t="shared" ca="1" si="9"/>
        <v>13337.079999999991</v>
      </c>
      <c r="J50" s="42">
        <f t="shared" ca="1" si="0"/>
        <v>1167.6000000000001</v>
      </c>
      <c r="K50" s="42">
        <f t="shared" ca="1" si="1"/>
        <v>98.28</v>
      </c>
      <c r="L50" s="42">
        <f ca="1">IF($E$7&gt;C50,ROUND($E$6/$H$97,2),IF($E$7=C50,J50+K50,"-"))</f>
        <v>1265.8800000000001</v>
      </c>
      <c r="M50" s="43">
        <f t="shared" ca="1" si="2"/>
        <v>12169.47999999999</v>
      </c>
      <c r="N50" s="48">
        <f ca="1">IF($E$7&gt;=C50,(IF(((Q50-(K50+(J49 * -1)+1))&lt;=0),1,((SUM(J$25:$J50)-(SUM($O$24:$O$26)))))),"-")</f>
        <v>25871.499999999996</v>
      </c>
      <c r="O50" s="45">
        <f ca="1">IF($E$7&gt;=C50,(IF((N50&lt;=0),1,((SUM($J$25:J50)-(SUM($O$24:O49)))))),"-")</f>
        <v>1167.5999999999985</v>
      </c>
      <c r="P50" s="42">
        <f t="shared" ca="1" si="3"/>
        <v>98.280000000001564</v>
      </c>
      <c r="Q50" s="46">
        <f t="shared" ca="1" si="10"/>
        <v>1265.8800000000001</v>
      </c>
      <c r="R50" s="47"/>
      <c r="S50" s="46">
        <f t="shared" ca="1" si="11"/>
        <v>0</v>
      </c>
      <c r="T50" s="47"/>
      <c r="U50" s="47">
        <f t="shared" ca="1" si="12"/>
        <v>1265.8800000000001</v>
      </c>
      <c r="V50" s="47"/>
      <c r="W50" s="47"/>
      <c r="X50" s="47"/>
      <c r="Y50" s="47"/>
      <c r="Z50" s="47"/>
      <c r="AA50" s="31">
        <v>26</v>
      </c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BA50" s="27">
        <f t="shared" ca="1" si="13"/>
        <v>46675</v>
      </c>
      <c r="BC50" s="26" t="str">
        <f t="shared" ca="1" si="14"/>
        <v>2027</v>
      </c>
      <c r="BD50" s="26" t="str">
        <f t="shared" ca="1" si="15"/>
        <v>10</v>
      </c>
      <c r="BE50" s="26">
        <f t="shared" ca="1" si="16"/>
        <v>16</v>
      </c>
      <c r="BF50" s="27" t="str">
        <f t="shared" ca="1" si="17"/>
        <v>sábado</v>
      </c>
      <c r="BG50" s="27">
        <f t="shared" ca="1" si="18"/>
        <v>46676</v>
      </c>
      <c r="BK50" s="26" t="str">
        <f t="shared" ca="1" si="20"/>
        <v>2027</v>
      </c>
      <c r="BL50" s="26" t="str">
        <f t="shared" ca="1" si="23"/>
        <v>11</v>
      </c>
      <c r="BM50" s="26">
        <f t="shared" ca="1" si="22"/>
        <v>1</v>
      </c>
      <c r="BN50" s="26" t="str">
        <f t="shared" ca="1" si="19"/>
        <v>lunes</v>
      </c>
      <c r="BO50" s="27">
        <f t="shared" ca="1" si="4"/>
        <v>46692</v>
      </c>
    </row>
    <row r="51" spans="3:67" s="26" customFormat="1" ht="12">
      <c r="C51" s="38">
        <v>27</v>
      </c>
      <c r="D51" s="39">
        <f t="shared" ca="1" si="5"/>
        <v>46707</v>
      </c>
      <c r="E51" s="81">
        <f ca="1">IF($E$20="No",IF(BF51="sábado",IF($E$7&gt;=C51,BG51+$Q$19,"-"),IF($E$7&gt;=C51,D51+$Q$19,"-")),BO51)</f>
        <v>46722</v>
      </c>
      <c r="F51" s="77">
        <f t="shared" ca="1" si="6"/>
        <v>30</v>
      </c>
      <c r="G51" s="40">
        <f t="shared" ca="1" si="7"/>
        <v>821</v>
      </c>
      <c r="H51" s="41">
        <f t="shared" ca="1" si="8"/>
        <v>0.82329573</v>
      </c>
      <c r="I51" s="42">
        <f t="shared" ca="1" si="9"/>
        <v>12169.47999999999</v>
      </c>
      <c r="J51" s="42">
        <f t="shared" ca="1" si="0"/>
        <v>1179.1100000000001</v>
      </c>
      <c r="K51" s="42">
        <f t="shared" ca="1" si="1"/>
        <v>86.77</v>
      </c>
      <c r="L51" s="42">
        <f ca="1">IF($E$7&gt;C51,ROUND($E$6/$H$97,2),IF($E$7=C51,J51+K51,"-"))</f>
        <v>1265.8800000000001</v>
      </c>
      <c r="M51" s="43">
        <f t="shared" ca="1" si="2"/>
        <v>10990.36999999999</v>
      </c>
      <c r="N51" s="48">
        <f ca="1">IF($E$7&gt;=C51,(IF(((Q51-(K51+(J50 * -1)+1))&lt;=0),1,((SUM(J$25:$J51)-(SUM($O$24:$O$26)))))),"-")</f>
        <v>27050.609999999997</v>
      </c>
      <c r="O51" s="45">
        <f ca="1">IF($E$7&gt;=C51,(IF((N51&lt;=0),1,((SUM($J$25:J51)-(SUM($O$24:O50)))))),"-")</f>
        <v>1179.1100000000006</v>
      </c>
      <c r="P51" s="42">
        <f t="shared" ca="1" si="3"/>
        <v>86.769999999999527</v>
      </c>
      <c r="Q51" s="46">
        <f t="shared" ca="1" si="10"/>
        <v>1265.8800000000001</v>
      </c>
      <c r="R51" s="47"/>
      <c r="S51" s="46">
        <f t="shared" ca="1" si="11"/>
        <v>0</v>
      </c>
      <c r="T51" s="47"/>
      <c r="U51" s="47">
        <f t="shared" ca="1" si="12"/>
        <v>1265.8800000000001</v>
      </c>
      <c r="V51" s="47"/>
      <c r="W51" s="47"/>
      <c r="X51" s="47"/>
      <c r="Y51" s="47"/>
      <c r="Z51" s="47"/>
      <c r="AA51" s="31">
        <v>27</v>
      </c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BA51" s="27">
        <f t="shared" ca="1" si="13"/>
        <v>46707</v>
      </c>
      <c r="BC51" s="26" t="str">
        <f t="shared" ca="1" si="14"/>
        <v>2027</v>
      </c>
      <c r="BD51" s="26" t="str">
        <f t="shared" ca="1" si="15"/>
        <v>11</v>
      </c>
      <c r="BE51" s="26">
        <f t="shared" ca="1" si="16"/>
        <v>16</v>
      </c>
      <c r="BF51" s="27" t="str">
        <f t="shared" ca="1" si="17"/>
        <v>martes</v>
      </c>
      <c r="BG51" s="27">
        <f t="shared" ca="1" si="18"/>
        <v>46707</v>
      </c>
      <c r="BK51" s="26" t="str">
        <f t="shared" ca="1" si="20"/>
        <v>2027</v>
      </c>
      <c r="BL51" s="26" t="str">
        <f t="shared" ca="1" si="23"/>
        <v>12</v>
      </c>
      <c r="BM51" s="26">
        <f t="shared" ca="1" si="22"/>
        <v>1</v>
      </c>
      <c r="BN51" s="26" t="str">
        <f t="shared" ca="1" si="19"/>
        <v>miércoles</v>
      </c>
      <c r="BO51" s="27">
        <f t="shared" ca="1" si="4"/>
        <v>46722</v>
      </c>
    </row>
    <row r="52" spans="3:67" s="26" customFormat="1" ht="12">
      <c r="C52" s="38">
        <v>28</v>
      </c>
      <c r="D52" s="39">
        <f t="shared" ca="1" si="5"/>
        <v>46737</v>
      </c>
      <c r="E52" s="81">
        <f ca="1">IF($E$20="No",IF(BF52="sábado",IF($E$7&gt;=C52,BG52+$Q$19,"-"),IF($E$7&gt;=C52,D52+$Q$19,"-")),BO52)</f>
        <v>46753</v>
      </c>
      <c r="F52" s="77">
        <f t="shared" ca="1" si="6"/>
        <v>31</v>
      </c>
      <c r="G52" s="40">
        <f t="shared" ca="1" si="7"/>
        <v>852</v>
      </c>
      <c r="H52" s="41">
        <f t="shared" ca="1" si="8"/>
        <v>0.81727337600000005</v>
      </c>
      <c r="I52" s="42">
        <f t="shared" ca="1" si="9"/>
        <v>10990.36999999999</v>
      </c>
      <c r="J52" s="42">
        <f t="shared" ca="1" si="0"/>
        <v>1184.8900000000001</v>
      </c>
      <c r="K52" s="42">
        <f t="shared" ca="1" si="1"/>
        <v>80.989999999999995</v>
      </c>
      <c r="L52" s="42">
        <f ca="1">IF($E$7&gt;C52,ROUND($E$6/$H$97,2),IF($E$7=C52,J52+K52,"-"))</f>
        <v>1265.8800000000001</v>
      </c>
      <c r="M52" s="43">
        <f t="shared" ca="1" si="2"/>
        <v>9805.4799999999905</v>
      </c>
      <c r="N52" s="48">
        <f ca="1">IF($E$7&gt;=C52,(IF(((Q52-(K52+(J51 * -1)+1))&lt;=0),1,((SUM(J$25:$J52)-(SUM($O$24:$O$26)))))),"-")</f>
        <v>28235.499999999996</v>
      </c>
      <c r="O52" s="45">
        <f ca="1">IF($E$7&gt;=C52,(IF((N52&lt;=0),1,((SUM($J$25:J52)-(SUM($O$24:O51)))))),"-")</f>
        <v>1184.8899999999994</v>
      </c>
      <c r="P52" s="42">
        <f t="shared" ca="1" si="3"/>
        <v>80.990000000000691</v>
      </c>
      <c r="Q52" s="46">
        <f t="shared" ca="1" si="10"/>
        <v>1265.8800000000001</v>
      </c>
      <c r="R52" s="47"/>
      <c r="S52" s="46">
        <f t="shared" ca="1" si="11"/>
        <v>0</v>
      </c>
      <c r="T52" s="47"/>
      <c r="U52" s="47">
        <f t="shared" ca="1" si="12"/>
        <v>1265.8800000000001</v>
      </c>
      <c r="V52" s="47"/>
      <c r="W52" s="47"/>
      <c r="X52" s="47"/>
      <c r="Y52" s="47"/>
      <c r="Z52" s="47"/>
      <c r="AA52" s="31">
        <v>28</v>
      </c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BA52" s="27">
        <f t="shared" ca="1" si="13"/>
        <v>46737</v>
      </c>
      <c r="BC52" s="26" t="str">
        <f t="shared" ca="1" si="14"/>
        <v>2027</v>
      </c>
      <c r="BD52" s="26" t="str">
        <f t="shared" ca="1" si="15"/>
        <v>12</v>
      </c>
      <c r="BE52" s="26">
        <f t="shared" ca="1" si="16"/>
        <v>16</v>
      </c>
      <c r="BF52" s="27" t="str">
        <f t="shared" ca="1" si="17"/>
        <v>jueves</v>
      </c>
      <c r="BG52" s="27">
        <f t="shared" ca="1" si="18"/>
        <v>46737</v>
      </c>
      <c r="BK52" s="26" t="str">
        <f t="shared" ca="1" si="20"/>
        <v>2028</v>
      </c>
      <c r="BL52" s="26" t="str">
        <f t="shared" ca="1" si="23"/>
        <v>01</v>
      </c>
      <c r="BM52" s="26">
        <f t="shared" ca="1" si="22"/>
        <v>1</v>
      </c>
      <c r="BN52" s="26" t="str">
        <f t="shared" ca="1" si="19"/>
        <v>sábado</v>
      </c>
      <c r="BO52" s="27">
        <f t="shared" ca="1" si="4"/>
        <v>46753</v>
      </c>
    </row>
    <row r="53" spans="3:67" s="26" customFormat="1" ht="12">
      <c r="C53" s="38">
        <v>29</v>
      </c>
      <c r="D53" s="39">
        <f t="shared" ca="1" si="5"/>
        <v>46768</v>
      </c>
      <c r="E53" s="81">
        <f ca="1">IF($E$20="No",IF(BF53="sábado",IF($E$7&gt;=C53,BG53+$Q$19,"-"),IF($E$7&gt;=C53,D53+$Q$19,"-")),BO53)</f>
        <v>46784</v>
      </c>
      <c r="F53" s="77">
        <f t="shared" ca="1" si="6"/>
        <v>31</v>
      </c>
      <c r="G53" s="40">
        <f t="shared" ca="1" si="7"/>
        <v>883</v>
      </c>
      <c r="H53" s="41">
        <f t="shared" ca="1" si="8"/>
        <v>0.81129507499999998</v>
      </c>
      <c r="I53" s="42">
        <f t="shared" ca="1" si="9"/>
        <v>9805.4799999999905</v>
      </c>
      <c r="J53" s="42">
        <f t="shared" ca="1" si="0"/>
        <v>1193.6300000000001</v>
      </c>
      <c r="K53" s="42">
        <f t="shared" ca="1" si="1"/>
        <v>72.25</v>
      </c>
      <c r="L53" s="42">
        <f ca="1">IF($E$7&gt;C53,ROUND($E$6/$H$97,2),IF($E$7=C53,J53+K53,"-"))</f>
        <v>1265.8800000000001</v>
      </c>
      <c r="M53" s="43">
        <f t="shared" ca="1" si="2"/>
        <v>8611.8499999999913</v>
      </c>
      <c r="N53" s="48">
        <f ca="1">IF($E$7&gt;=C53,(IF(((Q53-(K53+(J52 * -1)+1))&lt;=0),1,((SUM(J$25:$J53)-(SUM($O$24:$O$26)))))),"-")</f>
        <v>29429.129999999997</v>
      </c>
      <c r="O53" s="45">
        <f ca="1">IF($E$7&gt;=C53,(IF((N53&lt;=0),1,((SUM($J$25:J53)-(SUM($O$24:O52)))))),"-")</f>
        <v>1193.630000000001</v>
      </c>
      <c r="P53" s="42">
        <f t="shared" ca="1" si="3"/>
        <v>72.249999999999091</v>
      </c>
      <c r="Q53" s="46">
        <f t="shared" ca="1" si="10"/>
        <v>1265.8800000000001</v>
      </c>
      <c r="R53" s="47"/>
      <c r="S53" s="46">
        <f t="shared" ca="1" si="11"/>
        <v>0</v>
      </c>
      <c r="T53" s="47"/>
      <c r="U53" s="47">
        <f t="shared" ca="1" si="12"/>
        <v>1265.8800000000001</v>
      </c>
      <c r="V53" s="47"/>
      <c r="W53" s="47"/>
      <c r="X53" s="47"/>
      <c r="Y53" s="47"/>
      <c r="Z53" s="47"/>
      <c r="AA53" s="31">
        <v>29</v>
      </c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BA53" s="27">
        <f t="shared" ca="1" si="13"/>
        <v>46768</v>
      </c>
      <c r="BC53" s="26" t="str">
        <f t="shared" ca="1" si="14"/>
        <v>2028</v>
      </c>
      <c r="BD53" s="26" t="str">
        <f t="shared" ca="1" si="15"/>
        <v>01</v>
      </c>
      <c r="BE53" s="26">
        <f t="shared" ca="1" si="16"/>
        <v>16</v>
      </c>
      <c r="BF53" s="27" t="str">
        <f t="shared" ca="1" si="17"/>
        <v>domingo</v>
      </c>
      <c r="BG53" s="27">
        <f t="shared" ca="1" si="18"/>
        <v>46768</v>
      </c>
      <c r="BK53" s="26" t="str">
        <f t="shared" ca="1" si="20"/>
        <v>2028</v>
      </c>
      <c r="BL53" s="26" t="str">
        <f t="shared" ca="1" si="23"/>
        <v>02</v>
      </c>
      <c r="BM53" s="26">
        <f t="shared" ca="1" si="22"/>
        <v>1</v>
      </c>
      <c r="BN53" s="26" t="str">
        <f t="shared" ca="1" si="19"/>
        <v>martes</v>
      </c>
      <c r="BO53" s="27">
        <f t="shared" ca="1" si="4"/>
        <v>46784</v>
      </c>
    </row>
    <row r="54" spans="3:67" s="26" customFormat="1" ht="12">
      <c r="C54" s="38">
        <v>30</v>
      </c>
      <c r="D54" s="39">
        <f t="shared" ca="1" si="5"/>
        <v>46799</v>
      </c>
      <c r="E54" s="81">
        <f ca="1">IF($E$20="No",IF(BF54="sábado",IF($E$7&gt;=C54,BG54+$Q$19,"-"),IF($E$7&gt;=C54,D54+$Q$19,"-")),BO54)</f>
        <v>46813</v>
      </c>
      <c r="F54" s="77">
        <f t="shared" ca="1" si="6"/>
        <v>29</v>
      </c>
      <c r="G54" s="40">
        <f t="shared" ca="1" si="7"/>
        <v>912</v>
      </c>
      <c r="H54" s="41">
        <f t="shared" ca="1" si="8"/>
        <v>0.80574206599999998</v>
      </c>
      <c r="I54" s="42">
        <f t="shared" ca="1" si="9"/>
        <v>8611.8499999999913</v>
      </c>
      <c r="J54" s="42">
        <f t="shared" ca="1" si="0"/>
        <v>1206.5300000000002</v>
      </c>
      <c r="K54" s="42">
        <f t="shared" ca="1" si="1"/>
        <v>59.35</v>
      </c>
      <c r="L54" s="42">
        <f ca="1">IF($E$7&gt;C54,ROUND($E$6/$H$97,2),IF($E$7=C54,J54+K54,"-"))</f>
        <v>1265.8800000000001</v>
      </c>
      <c r="M54" s="43">
        <f t="shared" ca="1" si="2"/>
        <v>7405.3199999999906</v>
      </c>
      <c r="N54" s="48">
        <f ca="1">IF($E$7&gt;=C54,(IF(((Q54-(K54+(J53 * -1)+1))&lt;=0),1,((SUM(J$25:$J54)-(SUM($O$24:$O$26)))))),"-")</f>
        <v>30635.659999999996</v>
      </c>
      <c r="O54" s="45">
        <f ca="1">IF($E$7&gt;=C54,(IF((N54&lt;=0),1,((SUM($J$25:J54)-(SUM($O$24:O53)))))),"-")</f>
        <v>1206.5299999999988</v>
      </c>
      <c r="P54" s="42">
        <f t="shared" ca="1" si="3"/>
        <v>59.350000000001273</v>
      </c>
      <c r="Q54" s="46">
        <f t="shared" ca="1" si="10"/>
        <v>1265.8800000000001</v>
      </c>
      <c r="R54" s="47"/>
      <c r="S54" s="46">
        <f t="shared" ca="1" si="11"/>
        <v>0</v>
      </c>
      <c r="T54" s="47"/>
      <c r="U54" s="47">
        <f t="shared" ca="1" si="12"/>
        <v>1265.8800000000001</v>
      </c>
      <c r="V54" s="47"/>
      <c r="W54" s="47"/>
      <c r="X54" s="47"/>
      <c r="Y54" s="47"/>
      <c r="Z54" s="47"/>
      <c r="AA54" s="31">
        <v>30</v>
      </c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BA54" s="27">
        <f t="shared" ca="1" si="13"/>
        <v>46799</v>
      </c>
      <c r="BC54" s="26" t="str">
        <f t="shared" ca="1" si="14"/>
        <v>2028</v>
      </c>
      <c r="BD54" s="26" t="str">
        <f t="shared" ca="1" si="15"/>
        <v>02</v>
      </c>
      <c r="BE54" s="26">
        <f t="shared" ca="1" si="16"/>
        <v>16</v>
      </c>
      <c r="BF54" s="27" t="str">
        <f t="shared" ca="1" si="17"/>
        <v>miércoles</v>
      </c>
      <c r="BG54" s="27">
        <f t="shared" ca="1" si="18"/>
        <v>46799</v>
      </c>
      <c r="BK54" s="26" t="str">
        <f t="shared" ca="1" si="20"/>
        <v>2028</v>
      </c>
      <c r="BL54" s="26" t="str">
        <f t="shared" ca="1" si="23"/>
        <v>03</v>
      </c>
      <c r="BM54" s="26">
        <f t="shared" ca="1" si="22"/>
        <v>1</v>
      </c>
      <c r="BN54" s="26" t="str">
        <f t="shared" ca="1" si="19"/>
        <v>miércoles</v>
      </c>
      <c r="BO54" s="27">
        <f t="shared" ca="1" si="4"/>
        <v>46813</v>
      </c>
    </row>
    <row r="55" spans="3:67" s="26" customFormat="1" ht="12">
      <c r="C55" s="38">
        <v>31</v>
      </c>
      <c r="D55" s="39">
        <f t="shared" ca="1" si="5"/>
        <v>46828</v>
      </c>
      <c r="E55" s="81">
        <f ca="1">IF($E$20="No",IF(BF55="sábado",IF($E$7&gt;=C55,BG55+$Q$19,"-"),IF($E$7&gt;=C55,D55+$Q$19,"-")),BO55)</f>
        <v>46844</v>
      </c>
      <c r="F55" s="77">
        <f t="shared" ca="1" si="6"/>
        <v>31</v>
      </c>
      <c r="G55" s="40">
        <f t="shared" ca="1" si="7"/>
        <v>943</v>
      </c>
      <c r="H55" s="41">
        <f t="shared" ca="1" si="8"/>
        <v>0.79984811600000005</v>
      </c>
      <c r="I55" s="42">
        <f t="shared" ca="1" si="9"/>
        <v>7405.3199999999906</v>
      </c>
      <c r="J55" s="42">
        <f t="shared" ca="1" si="0"/>
        <v>1211.3100000000002</v>
      </c>
      <c r="K55" s="42">
        <f t="shared" ca="1" si="1"/>
        <v>54.57</v>
      </c>
      <c r="L55" s="42">
        <f ca="1">IF($E$7&gt;C55,ROUND($E$6/$H$97,2),IF($E$7=C55,J55+K55,"-"))</f>
        <v>1265.8800000000001</v>
      </c>
      <c r="M55" s="43">
        <f t="shared" ca="1" si="2"/>
        <v>6194.0099999999902</v>
      </c>
      <c r="N55" s="48">
        <f ca="1">IF($E$7&gt;=C55,(IF(((Q55-(K55+(J54 * -1)+1))&lt;=0),1,((SUM(J$25:$J55)-(SUM($O$24:$O$26)))))),"-")</f>
        <v>31846.969999999998</v>
      </c>
      <c r="O55" s="45">
        <f ca="1">IF($E$7&gt;=C55,(IF((N55&lt;=0),1,((SUM($J$25:J55)-(SUM($O$24:O54)))))),"-")</f>
        <v>1211.3100000000013</v>
      </c>
      <c r="P55" s="42">
        <f t="shared" ca="1" si="3"/>
        <v>54.569999999998799</v>
      </c>
      <c r="Q55" s="46">
        <f t="shared" ca="1" si="10"/>
        <v>1265.8800000000001</v>
      </c>
      <c r="R55" s="47"/>
      <c r="S55" s="46">
        <f t="shared" ca="1" si="11"/>
        <v>0</v>
      </c>
      <c r="T55" s="47"/>
      <c r="U55" s="47">
        <f t="shared" ca="1" si="12"/>
        <v>1265.8800000000001</v>
      </c>
      <c r="V55" s="47"/>
      <c r="W55" s="47"/>
      <c r="X55" s="47"/>
      <c r="Y55" s="47"/>
      <c r="Z55" s="47"/>
      <c r="AA55" s="31">
        <v>31</v>
      </c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BA55" s="27">
        <f t="shared" ca="1" si="13"/>
        <v>46828</v>
      </c>
      <c r="BC55" s="26" t="str">
        <f t="shared" ca="1" si="14"/>
        <v>2028</v>
      </c>
      <c r="BD55" s="26" t="str">
        <f t="shared" ca="1" si="15"/>
        <v>03</v>
      </c>
      <c r="BE55" s="26">
        <f t="shared" ca="1" si="16"/>
        <v>16</v>
      </c>
      <c r="BF55" s="27" t="str">
        <f t="shared" ca="1" si="17"/>
        <v>jueves</v>
      </c>
      <c r="BG55" s="27">
        <f t="shared" ca="1" si="18"/>
        <v>46828</v>
      </c>
      <c r="BK55" s="26" t="str">
        <f t="shared" ca="1" si="20"/>
        <v>2028</v>
      </c>
      <c r="BL55" s="26" t="str">
        <f t="shared" ca="1" si="23"/>
        <v>04</v>
      </c>
      <c r="BM55" s="26">
        <f t="shared" ca="1" si="22"/>
        <v>1</v>
      </c>
      <c r="BN55" s="26" t="str">
        <f t="shared" ca="1" si="19"/>
        <v>sábado</v>
      </c>
      <c r="BO55" s="27">
        <f t="shared" ca="1" si="4"/>
        <v>46844</v>
      </c>
    </row>
    <row r="56" spans="3:67" s="26" customFormat="1" ht="12">
      <c r="C56" s="38">
        <v>32</v>
      </c>
      <c r="D56" s="39">
        <f t="shared" ca="1" si="5"/>
        <v>46859</v>
      </c>
      <c r="E56" s="81">
        <f ca="1">IF($E$20="No",IF(BF56="sábado",IF($E$7&gt;=C56,BG56+$Q$19,"-"),IF($E$7&gt;=C56,D56+$Q$19,"-")),BO56)</f>
        <v>46874</v>
      </c>
      <c r="F56" s="77">
        <f t="shared" ca="1" si="6"/>
        <v>30</v>
      </c>
      <c r="G56" s="40">
        <f t="shared" ca="1" si="7"/>
        <v>973</v>
      </c>
      <c r="H56" s="41">
        <f t="shared" ca="1" si="8"/>
        <v>0.79418534600000001</v>
      </c>
      <c r="I56" s="42">
        <f t="shared" ca="1" si="9"/>
        <v>6194.0099999999902</v>
      </c>
      <c r="J56" s="42">
        <f t="shared" ca="1" si="0"/>
        <v>1221.71</v>
      </c>
      <c r="K56" s="42">
        <f t="shared" ca="1" si="1"/>
        <v>44.17</v>
      </c>
      <c r="L56" s="42">
        <f ca="1">IF($E$7&gt;C56,ROUND($E$6/$H$97,2),IF($E$7=C56,J56+K56,"-"))</f>
        <v>1265.8800000000001</v>
      </c>
      <c r="M56" s="43">
        <f t="shared" ca="1" si="2"/>
        <v>4972.2999999999902</v>
      </c>
      <c r="N56" s="48">
        <f ca="1">IF($E$7&gt;=C56,(IF(((Q56-(K56+(J55 * -1)+1))&lt;=0),1,((SUM(J$25:$J56)-(SUM($O$24:$O$26)))))),"-")</f>
        <v>33068.68</v>
      </c>
      <c r="O56" s="45">
        <f ca="1">IF($E$7&gt;=C56,(IF((N56&lt;=0),1,((SUM($J$25:J56)-(SUM($O$24:O55)))))),"-")</f>
        <v>1221.7099999999991</v>
      </c>
      <c r="P56" s="42">
        <f t="shared" ca="1" si="3"/>
        <v>44.170000000000982</v>
      </c>
      <c r="Q56" s="46">
        <f t="shared" ca="1" si="10"/>
        <v>1265.8800000000001</v>
      </c>
      <c r="R56" s="47"/>
      <c r="S56" s="46">
        <f t="shared" ca="1" si="11"/>
        <v>0</v>
      </c>
      <c r="T56" s="47"/>
      <c r="U56" s="47">
        <f t="shared" ca="1" si="12"/>
        <v>1265.8800000000001</v>
      </c>
      <c r="V56" s="47"/>
      <c r="W56" s="47"/>
      <c r="X56" s="47"/>
      <c r="Y56" s="47"/>
      <c r="Z56" s="47"/>
      <c r="AA56" s="31">
        <v>32</v>
      </c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BA56" s="27">
        <f t="shared" ca="1" si="13"/>
        <v>46859</v>
      </c>
      <c r="BC56" s="26" t="str">
        <f t="shared" ca="1" si="14"/>
        <v>2028</v>
      </c>
      <c r="BD56" s="26" t="str">
        <f t="shared" ca="1" si="15"/>
        <v>04</v>
      </c>
      <c r="BE56" s="26">
        <f t="shared" ca="1" si="16"/>
        <v>16</v>
      </c>
      <c r="BF56" s="27" t="str">
        <f t="shared" ca="1" si="17"/>
        <v>domingo</v>
      </c>
      <c r="BG56" s="27">
        <f t="shared" ca="1" si="18"/>
        <v>46859</v>
      </c>
      <c r="BK56" s="26" t="str">
        <f t="shared" ca="1" si="20"/>
        <v>2028</v>
      </c>
      <c r="BL56" s="26" t="str">
        <f t="shared" ca="1" si="23"/>
        <v>05</v>
      </c>
      <c r="BM56" s="26">
        <f t="shared" ca="1" si="22"/>
        <v>1</v>
      </c>
      <c r="BN56" s="26" t="str">
        <f t="shared" ca="1" si="19"/>
        <v>lunes</v>
      </c>
      <c r="BO56" s="27">
        <f t="shared" ca="1" si="4"/>
        <v>46874</v>
      </c>
    </row>
    <row r="57" spans="3:67" s="26" customFormat="1" ht="12">
      <c r="C57" s="38">
        <v>33</v>
      </c>
      <c r="D57" s="39">
        <f t="shared" ca="1" si="5"/>
        <v>46889</v>
      </c>
      <c r="E57" s="81">
        <f ca="1">IF($E$20="No",IF(BF57="sábado",IF($E$7&gt;=C57,BG57+$Q$19,"-"),IF($E$7&gt;=C57,D57+$Q$19,"-")),BO57)</f>
        <v>46905</v>
      </c>
      <c r="F57" s="77">
        <f t="shared" ca="1" si="6"/>
        <v>31</v>
      </c>
      <c r="G57" s="40">
        <f t="shared" ca="1" si="7"/>
        <v>1004</v>
      </c>
      <c r="H57" s="41">
        <f t="shared" ca="1" si="8"/>
        <v>0.788375932</v>
      </c>
      <c r="I57" s="42">
        <f t="shared" ca="1" si="9"/>
        <v>4972.2999999999902</v>
      </c>
      <c r="J57" s="42">
        <f t="shared" ca="1" si="0"/>
        <v>1229.24</v>
      </c>
      <c r="K57" s="42">
        <f t="shared" ca="1" si="1"/>
        <v>36.64</v>
      </c>
      <c r="L57" s="42">
        <f ca="1">IF($E$7&gt;C57,ROUND($E$6/$H$97,2),IF($E$7=C57,J57+K57,"-"))</f>
        <v>1265.8800000000001</v>
      </c>
      <c r="M57" s="43">
        <f t="shared" ca="1" si="2"/>
        <v>3743.0599999999904</v>
      </c>
      <c r="N57" s="48">
        <f ca="1">IF($E$7&gt;=C57,(IF(((Q57-(K57+(J56 * -1)+1))&lt;=0),1,((SUM(J$25:$J57)-(SUM($O$24:$O$26)))))),"-")</f>
        <v>34297.919999999998</v>
      </c>
      <c r="O57" s="45">
        <f ca="1">IF($E$7&gt;=C57,(IF((N57&lt;=0),1,((SUM($J$25:J57)-(SUM($O$24:O56)))))),"-")</f>
        <v>1229.239999999998</v>
      </c>
      <c r="P57" s="42">
        <f t="shared" ca="1" si="3"/>
        <v>36.640000000002146</v>
      </c>
      <c r="Q57" s="46">
        <f t="shared" ca="1" si="10"/>
        <v>1265.8800000000001</v>
      </c>
      <c r="R57" s="47"/>
      <c r="S57" s="46">
        <f t="shared" ca="1" si="11"/>
        <v>0</v>
      </c>
      <c r="T57" s="47"/>
      <c r="U57" s="47">
        <f t="shared" ca="1" si="12"/>
        <v>1265.8800000000001</v>
      </c>
      <c r="V57" s="47"/>
      <c r="W57" s="47"/>
      <c r="X57" s="47"/>
      <c r="Y57" s="47"/>
      <c r="Z57" s="47"/>
      <c r="AA57" s="31">
        <v>33</v>
      </c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BA57" s="27">
        <f t="shared" ca="1" si="13"/>
        <v>46889</v>
      </c>
      <c r="BC57" s="26" t="str">
        <f t="shared" ca="1" si="14"/>
        <v>2028</v>
      </c>
      <c r="BD57" s="26" t="str">
        <f t="shared" ca="1" si="15"/>
        <v>05</v>
      </c>
      <c r="BE57" s="26">
        <f t="shared" ca="1" si="16"/>
        <v>16</v>
      </c>
      <c r="BF57" s="27" t="str">
        <f t="shared" ca="1" si="17"/>
        <v>martes</v>
      </c>
      <c r="BG57" s="27">
        <f t="shared" ca="1" si="18"/>
        <v>46889</v>
      </c>
      <c r="BK57" s="26" t="str">
        <f t="shared" ca="1" si="20"/>
        <v>2028</v>
      </c>
      <c r="BL57" s="26" t="str">
        <f t="shared" ca="1" si="23"/>
        <v>06</v>
      </c>
      <c r="BM57" s="26">
        <f t="shared" ca="1" si="22"/>
        <v>1</v>
      </c>
      <c r="BN57" s="26" t="str">
        <f t="shared" ca="1" si="19"/>
        <v>jueves</v>
      </c>
      <c r="BO57" s="27">
        <f t="shared" ca="1" si="4"/>
        <v>46905</v>
      </c>
    </row>
    <row r="58" spans="3:67" s="26" customFormat="1" ht="12">
      <c r="C58" s="38">
        <v>34</v>
      </c>
      <c r="D58" s="39">
        <f t="shared" ca="1" si="5"/>
        <v>46920</v>
      </c>
      <c r="E58" s="81">
        <f ca="1">IF($E$20="No",IF(BF58="sábado",IF($E$7&gt;=C58,BG58+$Q$19,"-"),IF($E$7&gt;=C58,D58+$Q$19,"-")),BO58)</f>
        <v>46935</v>
      </c>
      <c r="F58" s="77">
        <f t="shared" ca="1" si="6"/>
        <v>30</v>
      </c>
      <c r="G58" s="40">
        <f t="shared" ca="1" si="7"/>
        <v>1034</v>
      </c>
      <c r="H58" s="41">
        <f t="shared" ca="1" si="8"/>
        <v>0.78279438300000004</v>
      </c>
      <c r="I58" s="42">
        <f t="shared" ca="1" si="9"/>
        <v>3743.0599999999904</v>
      </c>
      <c r="J58" s="42">
        <f t="shared" ca="1" si="0"/>
        <v>1239.19</v>
      </c>
      <c r="K58" s="42">
        <f t="shared" ca="1" si="1"/>
        <v>26.69</v>
      </c>
      <c r="L58" s="42">
        <f ca="1">IF($E$7&gt;C58,ROUND($E$6/$H$97,2),IF($E$7=C58,J58+K58,"-"))</f>
        <v>1265.8800000000001</v>
      </c>
      <c r="M58" s="43">
        <f t="shared" ca="1" si="2"/>
        <v>2503.8699999999903</v>
      </c>
      <c r="N58" s="48">
        <f ca="1">IF($E$7&gt;=C58,(IF(((Q58-(K58+(J57 * -1)+1))&lt;=0),1,((SUM(J$25:$J58)-(SUM($O$24:$O$26)))))),"-")</f>
        <v>35537.11</v>
      </c>
      <c r="O58" s="45">
        <f ca="1">IF($E$7&gt;=C58,(IF((N58&lt;=0),1,((SUM($J$25:J58)-(SUM($O$24:O57)))))),"-")</f>
        <v>1239.1900000000023</v>
      </c>
      <c r="P58" s="42">
        <f t="shared" ca="1" si="3"/>
        <v>26.689999999997781</v>
      </c>
      <c r="Q58" s="46">
        <f t="shared" ca="1" si="10"/>
        <v>1265.8800000000001</v>
      </c>
      <c r="R58" s="47"/>
      <c r="S58" s="46">
        <f t="shared" ca="1" si="11"/>
        <v>0</v>
      </c>
      <c r="T58" s="47"/>
      <c r="U58" s="47">
        <f t="shared" ca="1" si="12"/>
        <v>1265.8800000000001</v>
      </c>
      <c r="V58" s="47"/>
      <c r="W58" s="47"/>
      <c r="X58" s="47"/>
      <c r="Y58" s="47"/>
      <c r="Z58" s="47"/>
      <c r="AA58" s="31">
        <v>34</v>
      </c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BA58" s="27">
        <f t="shared" ca="1" si="13"/>
        <v>46920</v>
      </c>
      <c r="BC58" s="26" t="str">
        <f t="shared" ca="1" si="14"/>
        <v>2028</v>
      </c>
      <c r="BD58" s="26" t="str">
        <f t="shared" ca="1" si="15"/>
        <v>06</v>
      </c>
      <c r="BE58" s="26">
        <f t="shared" ca="1" si="16"/>
        <v>16</v>
      </c>
      <c r="BF58" s="27" t="str">
        <f t="shared" ca="1" si="17"/>
        <v>viernes</v>
      </c>
      <c r="BG58" s="27">
        <f t="shared" ca="1" si="18"/>
        <v>46920</v>
      </c>
      <c r="BK58" s="26" t="str">
        <f t="shared" ca="1" si="20"/>
        <v>2028</v>
      </c>
      <c r="BL58" s="26" t="str">
        <f t="shared" ca="1" si="23"/>
        <v>07</v>
      </c>
      <c r="BM58" s="26">
        <f t="shared" ca="1" si="22"/>
        <v>1</v>
      </c>
      <c r="BN58" s="26" t="str">
        <f t="shared" ca="1" si="19"/>
        <v>sábado</v>
      </c>
      <c r="BO58" s="27">
        <f t="shared" ca="1" si="4"/>
        <v>46935</v>
      </c>
    </row>
    <row r="59" spans="3:67" s="26" customFormat="1" ht="12">
      <c r="C59" s="38">
        <v>35</v>
      </c>
      <c r="D59" s="39">
        <f t="shared" ca="1" si="5"/>
        <v>46950</v>
      </c>
      <c r="E59" s="81">
        <f ca="1">IF($E$20="No",IF(BF59="sábado",IF($E$7&gt;=C59,BG59+$Q$19,"-"),IF($E$7&gt;=C59,D59+$Q$19,"-")),BO59)</f>
        <v>46966</v>
      </c>
      <c r="F59" s="77">
        <f t="shared" ca="1" si="6"/>
        <v>31</v>
      </c>
      <c r="G59" s="40">
        <f t="shared" ca="1" si="7"/>
        <v>1065</v>
      </c>
      <c r="H59" s="41">
        <f t="shared" ca="1" si="8"/>
        <v>0.77706829399999999</v>
      </c>
      <c r="I59" s="42">
        <f t="shared" ca="1" si="9"/>
        <v>2503.8699999999903</v>
      </c>
      <c r="J59" s="42">
        <f t="shared" ca="1" si="0"/>
        <v>1247.43</v>
      </c>
      <c r="K59" s="42">
        <f t="shared" ca="1" si="1"/>
        <v>18.45</v>
      </c>
      <c r="L59" s="42">
        <f ca="1">IF($E$7&gt;C59,ROUND($E$6/$H$97,2),IF($E$7=C59,J59+K59,"-"))</f>
        <v>1265.8800000000001</v>
      </c>
      <c r="M59" s="43">
        <f t="shared" ca="1" si="2"/>
        <v>1256.4399999999903</v>
      </c>
      <c r="N59" s="48">
        <f ca="1">IF($E$7&gt;=C59,(IF(((Q59-(K59+(J58 * -1)+1))&lt;=0),1,((SUM(J$25:$J59)-(SUM($O$24:$O$26)))))),"-")</f>
        <v>36784.54</v>
      </c>
      <c r="O59" s="45">
        <f ca="1">IF($E$7&gt;=C59,(IF((N59&lt;=0),1,((SUM($J$25:J59)-(SUM($O$24:O58)))))),"-")</f>
        <v>1247.4300000000003</v>
      </c>
      <c r="P59" s="42">
        <f t="shared" ca="1" si="3"/>
        <v>18.449999999999818</v>
      </c>
      <c r="Q59" s="46">
        <f t="shared" ca="1" si="10"/>
        <v>1265.8800000000001</v>
      </c>
      <c r="R59" s="47"/>
      <c r="S59" s="46">
        <f t="shared" ca="1" si="11"/>
        <v>0</v>
      </c>
      <c r="T59" s="47"/>
      <c r="U59" s="47">
        <f t="shared" ca="1" si="12"/>
        <v>1265.8800000000001</v>
      </c>
      <c r="V59" s="47"/>
      <c r="W59" s="47"/>
      <c r="X59" s="47"/>
      <c r="Y59" s="47"/>
      <c r="Z59" s="47"/>
      <c r="AA59" s="31">
        <v>35</v>
      </c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BA59" s="27">
        <f t="shared" ca="1" si="13"/>
        <v>46950</v>
      </c>
      <c r="BC59" s="26" t="str">
        <f t="shared" ca="1" si="14"/>
        <v>2028</v>
      </c>
      <c r="BD59" s="26" t="str">
        <f t="shared" ca="1" si="15"/>
        <v>07</v>
      </c>
      <c r="BE59" s="26">
        <f t="shared" ca="1" si="16"/>
        <v>16</v>
      </c>
      <c r="BF59" s="27" t="str">
        <f t="shared" ca="1" si="17"/>
        <v>domingo</v>
      </c>
      <c r="BG59" s="27">
        <f t="shared" ca="1" si="18"/>
        <v>46950</v>
      </c>
      <c r="BK59" s="26" t="str">
        <f t="shared" ca="1" si="20"/>
        <v>2028</v>
      </c>
      <c r="BL59" s="26" t="str">
        <f t="shared" ca="1" si="23"/>
        <v>08</v>
      </c>
      <c r="BM59" s="26">
        <f t="shared" ca="1" si="22"/>
        <v>1</v>
      </c>
      <c r="BN59" s="26" t="str">
        <f t="shared" ca="1" si="19"/>
        <v>martes</v>
      </c>
      <c r="BO59" s="27">
        <f t="shared" ca="1" si="4"/>
        <v>46966</v>
      </c>
    </row>
    <row r="60" spans="3:67" s="26" customFormat="1" ht="12">
      <c r="C60" s="50">
        <v>36</v>
      </c>
      <c r="D60" s="39">
        <f t="shared" ca="1" si="5"/>
        <v>46981</v>
      </c>
      <c r="E60" s="81">
        <f ca="1">IF($E$20="No",IF(BF60="sábado",IF($E$7&gt;=C60,BG60+$Q$19,"-"),IF($E$7&gt;=C60,D60+$Q$19,"-")),BO60)</f>
        <v>46997</v>
      </c>
      <c r="F60" s="78">
        <f t="shared" ca="1" si="6"/>
        <v>31</v>
      </c>
      <c r="G60" s="51">
        <f t="shared" ca="1" si="7"/>
        <v>1096</v>
      </c>
      <c r="H60" s="41">
        <f t="shared" ca="1" si="8"/>
        <v>0.77138408999999997</v>
      </c>
      <c r="I60" s="42">
        <f t="shared" ca="1" si="9"/>
        <v>1256.4399999999903</v>
      </c>
      <c r="J60" s="42">
        <f t="shared" ca="1" si="0"/>
        <v>1256.4399999999903</v>
      </c>
      <c r="K60" s="42">
        <f t="shared" ca="1" si="1"/>
        <v>9.26</v>
      </c>
      <c r="L60" s="42">
        <f ca="1">IF($E$7&gt;C60,ROUND($E$6/$H$97,2),IF($E$7=C60,J60+K60,"-"))</f>
        <v>1265.6999999999903</v>
      </c>
      <c r="M60" s="52">
        <f t="shared" ca="1" si="2"/>
        <v>0</v>
      </c>
      <c r="N60" s="48">
        <f ca="1">IF($E$7&gt;=C60,(IF(((Q60-(K60+(J59 * -1)+1))&lt;=0),1,((SUM(J$25:$J60)-(SUM($O$24:$O$26)))))),"-")</f>
        <v>38040.979999999989</v>
      </c>
      <c r="O60" s="45">
        <f ca="1">IF($E$7&gt;=C60,(IF((N60&lt;=0),1,((SUM($J$25:J60)-(SUM($O$24:O59)))))),"-")</f>
        <v>1256.4399999999878</v>
      </c>
      <c r="P60" s="42">
        <f t="shared" ca="1" si="3"/>
        <v>9.260000000002492</v>
      </c>
      <c r="Q60" s="46">
        <f t="shared" ca="1" si="10"/>
        <v>1265.6999999999903</v>
      </c>
      <c r="R60" s="47"/>
      <c r="S60" s="46">
        <f t="shared" ca="1" si="11"/>
        <v>0</v>
      </c>
      <c r="T60" s="47"/>
      <c r="U60" s="47">
        <f t="shared" ca="1" si="12"/>
        <v>1265.6999999999903</v>
      </c>
      <c r="V60" s="47"/>
      <c r="W60" s="47"/>
      <c r="X60" s="47"/>
      <c r="Y60" s="47"/>
      <c r="Z60" s="47"/>
      <c r="AA60" s="31">
        <v>36</v>
      </c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BA60" s="27">
        <f t="shared" ca="1" si="13"/>
        <v>46981</v>
      </c>
      <c r="BC60" s="26" t="str">
        <f t="shared" ca="1" si="14"/>
        <v>2028</v>
      </c>
      <c r="BD60" s="26" t="str">
        <f t="shared" ca="1" si="15"/>
        <v>08</v>
      </c>
      <c r="BE60" s="26">
        <f t="shared" ca="1" si="16"/>
        <v>16</v>
      </c>
      <c r="BF60" s="27" t="str">
        <f t="shared" ca="1" si="17"/>
        <v>miércoles</v>
      </c>
      <c r="BG60" s="27">
        <f t="shared" ca="1" si="18"/>
        <v>46981</v>
      </c>
      <c r="BK60" s="26" t="str">
        <f t="shared" ca="1" si="20"/>
        <v>2028</v>
      </c>
      <c r="BL60" s="26" t="str">
        <f t="shared" ca="1" si="23"/>
        <v>09</v>
      </c>
      <c r="BM60" s="26">
        <f t="shared" ca="1" si="22"/>
        <v>1</v>
      </c>
      <c r="BN60" s="26" t="str">
        <f t="shared" ca="1" si="19"/>
        <v>viernes</v>
      </c>
      <c r="BO60" s="27">
        <f t="shared" ca="1" si="4"/>
        <v>46997</v>
      </c>
    </row>
    <row r="61" spans="3:67" s="26" customFormat="1" ht="12">
      <c r="C61" s="50">
        <v>37</v>
      </c>
      <c r="D61" s="39" t="str">
        <f t="shared" si="5"/>
        <v>-</v>
      </c>
      <c r="E61" s="81" t="str">
        <f>IF($E$20="No",IF(BF61="sábado",IF($E$7&gt;=C61,BG61+$Q$19,"-"),IF($E$7&gt;=C61,D61+$Q$19,"-")),BO61)</f>
        <v>-</v>
      </c>
      <c r="F61" s="78" t="str">
        <f>IF($E$7&gt;=C61,E61-E60,"-")</f>
        <v>-</v>
      </c>
      <c r="G61" s="51" t="str">
        <f t="shared" si="7"/>
        <v>-</v>
      </c>
      <c r="H61" s="41" t="str">
        <f t="shared" si="8"/>
        <v>-</v>
      </c>
      <c r="I61" s="42" t="str">
        <f t="shared" si="9"/>
        <v>-</v>
      </c>
      <c r="J61" s="42" t="str">
        <f t="shared" si="0"/>
        <v>-</v>
      </c>
      <c r="K61" s="42" t="str">
        <f t="shared" si="1"/>
        <v>-</v>
      </c>
      <c r="L61" s="42" t="str">
        <f>IF($E$7&gt;C61,ROUND($E$6/$H$97,2),IF($E$7=C61,J61+K61,"-"))</f>
        <v>-</v>
      </c>
      <c r="M61" s="52" t="str">
        <f t="shared" si="2"/>
        <v>-</v>
      </c>
      <c r="N61" s="48" t="str">
        <f>IF($E$7&gt;=C61,(IF(((Q61-(K61+(J60 * -1)+1))&lt;=0),1,((SUM(J$25:$J61)-(SUM($O$24:$O$26)))))),"-")</f>
        <v>-</v>
      </c>
      <c r="O61" s="45" t="str">
        <f>IF($E$7&gt;=C61,(IF((N61&lt;=0),1,((SUM($J$25:J61)-(SUM($O$24:O60)))))),"-")</f>
        <v>-</v>
      </c>
      <c r="P61" s="42" t="str">
        <f t="shared" si="3"/>
        <v>-</v>
      </c>
      <c r="Q61" s="46" t="str">
        <f t="shared" si="10"/>
        <v>-</v>
      </c>
      <c r="R61" s="47"/>
      <c r="S61" s="46" t="str">
        <f t="shared" si="11"/>
        <v>-</v>
      </c>
      <c r="T61" s="47"/>
      <c r="U61" s="47" t="str">
        <f t="shared" si="12"/>
        <v>-</v>
      </c>
      <c r="V61" s="47"/>
      <c r="W61" s="47"/>
      <c r="X61" s="47"/>
      <c r="Y61" s="47"/>
      <c r="Z61" s="47"/>
      <c r="AA61" s="31">
        <v>37</v>
      </c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BA61" s="27" t="str">
        <f t="shared" si="13"/>
        <v>-</v>
      </c>
      <c r="BC61" s="26" t="str">
        <f t="shared" ca="1" si="14"/>
        <v>2028</v>
      </c>
      <c r="BD61" s="26" t="str">
        <f t="shared" ca="1" si="15"/>
        <v>09</v>
      </c>
      <c r="BE61" s="26">
        <f t="shared" ca="1" si="16"/>
        <v>16</v>
      </c>
      <c r="BF61" s="27" t="str">
        <f t="shared" ca="1" si="17"/>
        <v>sábado</v>
      </c>
      <c r="BG61" s="27">
        <f t="shared" ca="1" si="18"/>
        <v>47012</v>
      </c>
      <c r="BK61" s="26" t="str">
        <f t="shared" ca="1" si="20"/>
        <v>2028</v>
      </c>
      <c r="BL61" s="26" t="str">
        <f t="shared" ca="1" si="23"/>
        <v>10</v>
      </c>
      <c r="BM61" s="26">
        <f t="shared" ca="1" si="22"/>
        <v>1</v>
      </c>
      <c r="BN61" s="26" t="str">
        <f t="shared" ca="1" si="19"/>
        <v>domingo</v>
      </c>
      <c r="BO61" s="27" t="str">
        <f t="shared" si="4"/>
        <v>-</v>
      </c>
    </row>
    <row r="62" spans="3:67" s="26" customFormat="1" ht="12">
      <c r="C62" s="50">
        <v>38</v>
      </c>
      <c r="D62" s="39" t="str">
        <f t="shared" si="5"/>
        <v>-</v>
      </c>
      <c r="E62" s="81" t="str">
        <f>IF($E$20="No",IF(BF62="sábado",IF($E$7&gt;=C62,BG62+$Q$19,"-"),IF($E$7&gt;=C62,D62+$Q$19,"-")),BO62)</f>
        <v>-</v>
      </c>
      <c r="F62" s="78" t="str">
        <f t="shared" si="6"/>
        <v>-</v>
      </c>
      <c r="G62" s="51" t="str">
        <f t="shared" si="7"/>
        <v>-</v>
      </c>
      <c r="H62" s="41" t="str">
        <f t="shared" si="8"/>
        <v>-</v>
      </c>
      <c r="I62" s="42" t="str">
        <f t="shared" si="9"/>
        <v>-</v>
      </c>
      <c r="J62" s="42" t="str">
        <f t="shared" si="0"/>
        <v>-</v>
      </c>
      <c r="K62" s="42" t="str">
        <f t="shared" si="1"/>
        <v>-</v>
      </c>
      <c r="L62" s="42" t="str">
        <f>IF($E$7&gt;C62,ROUND($E$6/$H$97,2),IF($E$7=C62,J62+K62,"-"))</f>
        <v>-</v>
      </c>
      <c r="M62" s="52" t="str">
        <f t="shared" si="2"/>
        <v>-</v>
      </c>
      <c r="N62" s="48" t="str">
        <f>IF($E$7&gt;=C62,(IF(((Q62-(K62+(J61 * -1)+1))&lt;=0),1,((SUM(J$25:$J62)-(SUM($O$24:$O$26)))))),"-")</f>
        <v>-</v>
      </c>
      <c r="O62" s="45" t="str">
        <f>IF($E$7&gt;=C62,(IF((N62&lt;=0),1,((SUM($J$25:J62)-(SUM($O$24:O61)))))),"-")</f>
        <v>-</v>
      </c>
      <c r="P62" s="42" t="str">
        <f t="shared" si="3"/>
        <v>-</v>
      </c>
      <c r="Q62" s="46" t="str">
        <f t="shared" si="10"/>
        <v>-</v>
      </c>
      <c r="R62" s="47"/>
      <c r="S62" s="46" t="str">
        <f t="shared" si="11"/>
        <v>-</v>
      </c>
      <c r="T62" s="47"/>
      <c r="U62" s="47" t="str">
        <f t="shared" si="12"/>
        <v>-</v>
      </c>
      <c r="V62" s="47"/>
      <c r="W62" s="47"/>
      <c r="X62" s="47"/>
      <c r="Y62" s="47"/>
      <c r="Z62" s="47"/>
      <c r="AA62" s="31">
        <v>38</v>
      </c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BA62" s="27" t="str">
        <f t="shared" si="13"/>
        <v>-</v>
      </c>
      <c r="BC62" s="26" t="str">
        <f t="shared" ca="1" si="14"/>
        <v>2028</v>
      </c>
      <c r="BD62" s="26" t="str">
        <f t="shared" ca="1" si="15"/>
        <v>10</v>
      </c>
      <c r="BE62" s="26">
        <f t="shared" ca="1" si="16"/>
        <v>16</v>
      </c>
      <c r="BF62" s="27" t="str">
        <f t="shared" ca="1" si="17"/>
        <v>lunes</v>
      </c>
      <c r="BG62" s="27">
        <f t="shared" ca="1" si="18"/>
        <v>47042</v>
      </c>
      <c r="BK62" s="26" t="str">
        <f t="shared" ca="1" si="20"/>
        <v>2028</v>
      </c>
      <c r="BL62" s="26" t="str">
        <f t="shared" ca="1" si="23"/>
        <v>11</v>
      </c>
      <c r="BM62" s="26">
        <f t="shared" ca="1" si="22"/>
        <v>1</v>
      </c>
      <c r="BN62" s="26" t="str">
        <f t="shared" ca="1" si="19"/>
        <v>miércoles</v>
      </c>
      <c r="BO62" s="27" t="str">
        <f t="shared" si="4"/>
        <v>-</v>
      </c>
    </row>
    <row r="63" spans="3:67" s="26" customFormat="1" ht="12">
      <c r="C63" s="50">
        <v>39</v>
      </c>
      <c r="D63" s="39" t="str">
        <f t="shared" si="5"/>
        <v>-</v>
      </c>
      <c r="E63" s="81" t="str">
        <f>IF($E$20="No",IF(BF63="sábado",IF($E$7&gt;=C63,BG63+$Q$19,"-"),IF($E$7&gt;=C63,D63+$Q$19,"-")),BO63)</f>
        <v>-</v>
      </c>
      <c r="F63" s="78" t="str">
        <f t="shared" si="6"/>
        <v>-</v>
      </c>
      <c r="G63" s="51" t="str">
        <f t="shared" si="7"/>
        <v>-</v>
      </c>
      <c r="H63" s="41" t="str">
        <f t="shared" si="8"/>
        <v>-</v>
      </c>
      <c r="I63" s="42" t="str">
        <f t="shared" si="9"/>
        <v>-</v>
      </c>
      <c r="J63" s="42" t="str">
        <f t="shared" si="0"/>
        <v>-</v>
      </c>
      <c r="K63" s="42" t="str">
        <f t="shared" si="1"/>
        <v>-</v>
      </c>
      <c r="L63" s="42" t="str">
        <f>IF($E$7&gt;C63,ROUND($E$6/$H$97,2),IF($E$7=C63,J63+K63,"-"))</f>
        <v>-</v>
      </c>
      <c r="M63" s="52" t="str">
        <f t="shared" si="2"/>
        <v>-</v>
      </c>
      <c r="N63" s="48" t="str">
        <f>IF($E$7&gt;=C63,(IF(((Q63-(K63+(J62 * -1)+1))&lt;=0),1,((SUM(J$25:$J63)-(SUM($O$24:$O$26)))))),"-")</f>
        <v>-</v>
      </c>
      <c r="O63" s="45" t="str">
        <f>IF($E$7&gt;=C63,(IF((N63&lt;=0),1,((SUM($J$25:J63)-(SUM($O$24:O62)))))),"-")</f>
        <v>-</v>
      </c>
      <c r="P63" s="42" t="str">
        <f t="shared" si="3"/>
        <v>-</v>
      </c>
      <c r="Q63" s="46" t="str">
        <f t="shared" si="10"/>
        <v>-</v>
      </c>
      <c r="R63" s="47"/>
      <c r="S63" s="46" t="str">
        <f t="shared" si="11"/>
        <v>-</v>
      </c>
      <c r="T63" s="47"/>
      <c r="U63" s="47" t="str">
        <f t="shared" si="12"/>
        <v>-</v>
      </c>
      <c r="V63" s="47"/>
      <c r="W63" s="47"/>
      <c r="X63" s="47"/>
      <c r="Y63" s="47"/>
      <c r="Z63" s="47"/>
      <c r="AA63" s="31">
        <v>39</v>
      </c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BA63" s="27" t="str">
        <f t="shared" si="13"/>
        <v>-</v>
      </c>
      <c r="BC63" s="26" t="str">
        <f t="shared" ca="1" si="14"/>
        <v>2028</v>
      </c>
      <c r="BD63" s="26" t="str">
        <f t="shared" ca="1" si="15"/>
        <v>11</v>
      </c>
      <c r="BE63" s="26">
        <f t="shared" ca="1" si="16"/>
        <v>16</v>
      </c>
      <c r="BF63" s="27" t="str">
        <f t="shared" ca="1" si="17"/>
        <v>jueves</v>
      </c>
      <c r="BG63" s="27">
        <f t="shared" ca="1" si="18"/>
        <v>47073</v>
      </c>
      <c r="BK63" s="26" t="str">
        <f t="shared" ca="1" si="20"/>
        <v>2028</v>
      </c>
      <c r="BL63" s="26" t="str">
        <f t="shared" ca="1" si="23"/>
        <v>12</v>
      </c>
      <c r="BM63" s="26">
        <f t="shared" ca="1" si="22"/>
        <v>1</v>
      </c>
      <c r="BN63" s="26" t="str">
        <f t="shared" ca="1" si="19"/>
        <v>viernes</v>
      </c>
      <c r="BO63" s="27" t="str">
        <f t="shared" si="4"/>
        <v>-</v>
      </c>
    </row>
    <row r="64" spans="3:67" s="26" customFormat="1" ht="12">
      <c r="C64" s="50">
        <v>40</v>
      </c>
      <c r="D64" s="39" t="str">
        <f t="shared" si="5"/>
        <v>-</v>
      </c>
      <c r="E64" s="81" t="str">
        <f>IF($E$20="No",IF(BF64="sábado",IF($E$7&gt;=C64,BG64+$Q$19,"-"),IF($E$7&gt;=C64,D64+$Q$19,"-")),BO64)</f>
        <v>-</v>
      </c>
      <c r="F64" s="78" t="str">
        <f t="shared" si="6"/>
        <v>-</v>
      </c>
      <c r="G64" s="51" t="str">
        <f t="shared" si="7"/>
        <v>-</v>
      </c>
      <c r="H64" s="41" t="str">
        <f t="shared" si="8"/>
        <v>-</v>
      </c>
      <c r="I64" s="42" t="str">
        <f t="shared" si="9"/>
        <v>-</v>
      </c>
      <c r="J64" s="42" t="str">
        <f t="shared" si="0"/>
        <v>-</v>
      </c>
      <c r="K64" s="42" t="str">
        <f t="shared" si="1"/>
        <v>-</v>
      </c>
      <c r="L64" s="42" t="str">
        <f>IF($E$7&gt;C64,ROUND($E$6/$H$97,2),IF($E$7=C64,J64+K64,"-"))</f>
        <v>-</v>
      </c>
      <c r="M64" s="52" t="str">
        <f t="shared" si="2"/>
        <v>-</v>
      </c>
      <c r="N64" s="48" t="str">
        <f>IF($E$7&gt;=C64,(IF(((Q64-(K64+(J63 * -1)+1))&lt;=0),1,((SUM(J$25:$J64)-(SUM($O$24:$O$26)))))),"-")</f>
        <v>-</v>
      </c>
      <c r="O64" s="45" t="str">
        <f>IF($E$7&gt;=C64,(IF((N64&lt;=0),1,((SUM($J$25:J64)-(SUM($O$24:O63)))))),"-")</f>
        <v>-</v>
      </c>
      <c r="P64" s="42" t="str">
        <f t="shared" si="3"/>
        <v>-</v>
      </c>
      <c r="Q64" s="46" t="str">
        <f t="shared" si="10"/>
        <v>-</v>
      </c>
      <c r="R64" s="47"/>
      <c r="S64" s="46" t="str">
        <f t="shared" si="11"/>
        <v>-</v>
      </c>
      <c r="T64" s="47"/>
      <c r="U64" s="47" t="str">
        <f t="shared" si="12"/>
        <v>-</v>
      </c>
      <c r="V64" s="47"/>
      <c r="W64" s="47"/>
      <c r="X64" s="47"/>
      <c r="Y64" s="47"/>
      <c r="Z64" s="47"/>
      <c r="AA64" s="31">
        <v>40</v>
      </c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BA64" s="27" t="str">
        <f t="shared" si="13"/>
        <v>-</v>
      </c>
      <c r="BC64" s="26" t="str">
        <f t="shared" ca="1" si="14"/>
        <v>2028</v>
      </c>
      <c r="BD64" s="26" t="str">
        <f t="shared" ca="1" si="15"/>
        <v>12</v>
      </c>
      <c r="BE64" s="26">
        <f t="shared" ca="1" si="16"/>
        <v>16</v>
      </c>
      <c r="BF64" s="27" t="str">
        <f t="shared" ca="1" si="17"/>
        <v>sábado</v>
      </c>
      <c r="BG64" s="27">
        <f t="shared" ca="1" si="18"/>
        <v>47103</v>
      </c>
      <c r="BK64" s="26" t="str">
        <f t="shared" ca="1" si="20"/>
        <v>2029</v>
      </c>
      <c r="BL64" s="26" t="str">
        <f t="shared" ca="1" si="23"/>
        <v>01</v>
      </c>
      <c r="BM64" s="26">
        <f t="shared" ca="1" si="22"/>
        <v>1</v>
      </c>
      <c r="BN64" s="26" t="str">
        <f t="shared" ca="1" si="19"/>
        <v>lunes</v>
      </c>
      <c r="BO64" s="27" t="str">
        <f t="shared" si="4"/>
        <v>-</v>
      </c>
    </row>
    <row r="65" spans="3:67" s="26" customFormat="1" ht="12">
      <c r="C65" s="50">
        <v>41</v>
      </c>
      <c r="D65" s="39" t="str">
        <f t="shared" si="5"/>
        <v>-</v>
      </c>
      <c r="E65" s="81" t="str">
        <f>IF($E$20="No",IF(BF65="sábado",IF($E$7&gt;=C65,BG65+$Q$19,"-"),IF($E$7&gt;=C65,D65+$Q$19,"-")),BO65)</f>
        <v>-</v>
      </c>
      <c r="F65" s="78" t="str">
        <f t="shared" si="6"/>
        <v>-</v>
      </c>
      <c r="G65" s="51" t="str">
        <f t="shared" si="7"/>
        <v>-</v>
      </c>
      <c r="H65" s="41" t="str">
        <f t="shared" si="8"/>
        <v>-</v>
      </c>
      <c r="I65" s="42" t="str">
        <f t="shared" si="9"/>
        <v>-</v>
      </c>
      <c r="J65" s="42" t="str">
        <f t="shared" si="0"/>
        <v>-</v>
      </c>
      <c r="K65" s="42" t="str">
        <f t="shared" si="1"/>
        <v>-</v>
      </c>
      <c r="L65" s="42" t="str">
        <f>IF($E$7&gt;C65,ROUND($E$6/$H$97,2),IF($E$7=C65,J65+K65,"-"))</f>
        <v>-</v>
      </c>
      <c r="M65" s="52" t="str">
        <f t="shared" si="2"/>
        <v>-</v>
      </c>
      <c r="N65" s="48" t="str">
        <f>IF($E$7&gt;=C65,(IF(((Q65-(K65+(J64 * -1)+1))&lt;=0),1,((SUM(J$25:$J65)-(SUM($O$24:$O$26)))))),"-")</f>
        <v>-</v>
      </c>
      <c r="O65" s="45" t="str">
        <f>IF($E$7&gt;=C65,(IF((N65&lt;=0),1,((SUM($J$25:J65)-(SUM($O$24:O64)))))),"-")</f>
        <v>-</v>
      </c>
      <c r="P65" s="42" t="str">
        <f t="shared" si="3"/>
        <v>-</v>
      </c>
      <c r="Q65" s="46" t="str">
        <f t="shared" si="10"/>
        <v>-</v>
      </c>
      <c r="R65" s="47"/>
      <c r="S65" s="46" t="str">
        <f t="shared" si="11"/>
        <v>-</v>
      </c>
      <c r="T65" s="47"/>
      <c r="U65" s="47" t="str">
        <f t="shared" si="12"/>
        <v>-</v>
      </c>
      <c r="V65" s="47"/>
      <c r="W65" s="47"/>
      <c r="X65" s="47"/>
      <c r="Y65" s="47"/>
      <c r="Z65" s="47"/>
      <c r="AA65" s="31">
        <v>41</v>
      </c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BA65" s="27" t="str">
        <f t="shared" si="13"/>
        <v>-</v>
      </c>
      <c r="BC65" s="26" t="str">
        <f t="shared" ca="1" si="14"/>
        <v>2029</v>
      </c>
      <c r="BD65" s="26" t="str">
        <f t="shared" ca="1" si="15"/>
        <v>01</v>
      </c>
      <c r="BE65" s="26">
        <f t="shared" ca="1" si="16"/>
        <v>16</v>
      </c>
      <c r="BF65" s="27" t="str">
        <f t="shared" ca="1" si="17"/>
        <v>martes</v>
      </c>
      <c r="BG65" s="27">
        <f t="shared" ca="1" si="18"/>
        <v>47134</v>
      </c>
      <c r="BK65" s="26" t="str">
        <f t="shared" ca="1" si="20"/>
        <v>2029</v>
      </c>
      <c r="BL65" s="26" t="str">
        <f t="shared" ca="1" si="23"/>
        <v>02</v>
      </c>
      <c r="BM65" s="26">
        <f t="shared" ca="1" si="22"/>
        <v>1</v>
      </c>
      <c r="BN65" s="26" t="str">
        <f t="shared" ca="1" si="19"/>
        <v>jueves</v>
      </c>
      <c r="BO65" s="27" t="str">
        <f t="shared" si="4"/>
        <v>-</v>
      </c>
    </row>
    <row r="66" spans="3:67" s="26" customFormat="1" ht="12">
      <c r="C66" s="50">
        <v>42</v>
      </c>
      <c r="D66" s="39" t="str">
        <f t="shared" si="5"/>
        <v>-</v>
      </c>
      <c r="E66" s="81" t="str">
        <f>IF($E$20="No",IF(BF66="sábado",IF($E$7&gt;=C66,BG66+$Q$19,"-"),IF($E$7&gt;=C66,D66+$Q$19,"-")),BO66)</f>
        <v>-</v>
      </c>
      <c r="F66" s="78" t="str">
        <f t="shared" si="6"/>
        <v>-</v>
      </c>
      <c r="G66" s="51" t="str">
        <f t="shared" si="7"/>
        <v>-</v>
      </c>
      <c r="H66" s="41" t="str">
        <f t="shared" si="8"/>
        <v>-</v>
      </c>
      <c r="I66" s="42" t="str">
        <f t="shared" si="9"/>
        <v>-</v>
      </c>
      <c r="J66" s="42" t="str">
        <f t="shared" si="0"/>
        <v>-</v>
      </c>
      <c r="K66" s="42" t="str">
        <f t="shared" si="1"/>
        <v>-</v>
      </c>
      <c r="L66" s="42" t="str">
        <f>IF($E$7&gt;C66,ROUND($E$6/$H$97,2),IF($E$7=C66,J66+K66,"-"))</f>
        <v>-</v>
      </c>
      <c r="M66" s="52" t="str">
        <f t="shared" si="2"/>
        <v>-</v>
      </c>
      <c r="N66" s="48" t="str">
        <f>IF($E$7&gt;=C66,(IF(((Q66-(K66+(J65 * -1)+1))&lt;=0),1,((SUM(J$25:$J66)-(SUM($O$24:$O$26)))))),"-")</f>
        <v>-</v>
      </c>
      <c r="O66" s="45" t="str">
        <f>IF($E$7&gt;=C66,(IF((N66&lt;=0),1,((SUM($J$25:J66)-(SUM($O$24:O65)))))),"-")</f>
        <v>-</v>
      </c>
      <c r="P66" s="42" t="str">
        <f t="shared" si="3"/>
        <v>-</v>
      </c>
      <c r="Q66" s="46" t="str">
        <f t="shared" si="10"/>
        <v>-</v>
      </c>
      <c r="R66" s="47"/>
      <c r="S66" s="46" t="str">
        <f t="shared" si="11"/>
        <v>-</v>
      </c>
      <c r="T66" s="47"/>
      <c r="U66" s="47" t="str">
        <f t="shared" si="12"/>
        <v>-</v>
      </c>
      <c r="V66" s="47"/>
      <c r="W66" s="47"/>
      <c r="X66" s="47"/>
      <c r="Y66" s="47"/>
      <c r="Z66" s="47"/>
      <c r="AA66" s="31">
        <v>42</v>
      </c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BA66" s="27" t="str">
        <f t="shared" si="13"/>
        <v>-</v>
      </c>
      <c r="BC66" s="26" t="str">
        <f t="shared" ca="1" si="14"/>
        <v>2029</v>
      </c>
      <c r="BD66" s="26" t="str">
        <f t="shared" ca="1" si="15"/>
        <v>02</v>
      </c>
      <c r="BE66" s="26">
        <f t="shared" ca="1" si="16"/>
        <v>16</v>
      </c>
      <c r="BF66" s="27" t="str">
        <f t="shared" ca="1" si="17"/>
        <v>viernes</v>
      </c>
      <c r="BG66" s="27">
        <f t="shared" ca="1" si="18"/>
        <v>47165</v>
      </c>
      <c r="BK66" s="26" t="str">
        <f t="shared" ca="1" si="20"/>
        <v>2029</v>
      </c>
      <c r="BL66" s="26" t="str">
        <f t="shared" ca="1" si="23"/>
        <v>03</v>
      </c>
      <c r="BM66" s="26">
        <f t="shared" ca="1" si="22"/>
        <v>1</v>
      </c>
      <c r="BN66" s="26" t="str">
        <f t="shared" ca="1" si="19"/>
        <v>jueves</v>
      </c>
      <c r="BO66" s="27" t="str">
        <f t="shared" si="4"/>
        <v>-</v>
      </c>
    </row>
    <row r="67" spans="3:67" s="26" customFormat="1" ht="12">
      <c r="C67" s="50">
        <v>43</v>
      </c>
      <c r="D67" s="39" t="str">
        <f t="shared" si="5"/>
        <v>-</v>
      </c>
      <c r="E67" s="81" t="str">
        <f>IF($E$20="No",IF(BF67="sábado",IF($E$7&gt;=C67,BG67+$Q$19,"-"),IF($E$7&gt;=C67,D67+$Q$19,"-")),BO67)</f>
        <v>-</v>
      </c>
      <c r="F67" s="78" t="str">
        <f t="shared" si="6"/>
        <v>-</v>
      </c>
      <c r="G67" s="51" t="str">
        <f t="shared" si="7"/>
        <v>-</v>
      </c>
      <c r="H67" s="41" t="str">
        <f t="shared" si="8"/>
        <v>-</v>
      </c>
      <c r="I67" s="42" t="str">
        <f t="shared" si="9"/>
        <v>-</v>
      </c>
      <c r="J67" s="42" t="str">
        <f t="shared" si="0"/>
        <v>-</v>
      </c>
      <c r="K67" s="42" t="str">
        <f t="shared" si="1"/>
        <v>-</v>
      </c>
      <c r="L67" s="42" t="str">
        <f>IF($E$7&gt;C67,ROUND($E$6/$H$97,2),IF($E$7=C67,J67+K67,"-"))</f>
        <v>-</v>
      </c>
      <c r="M67" s="52" t="str">
        <f t="shared" si="2"/>
        <v>-</v>
      </c>
      <c r="N67" s="48" t="str">
        <f>IF($E$7&gt;=C67,(IF(((Q67-(K67+(J66 * -1)+1))&lt;=0),1,((SUM(J$25:$J67)-(SUM($O$24:$O$26)))))),"-")</f>
        <v>-</v>
      </c>
      <c r="O67" s="45" t="str">
        <f>IF($E$7&gt;=C67,(IF((N67&lt;=0),1,((SUM($J$25:J67)-(SUM($O$24:O66)))))),"-")</f>
        <v>-</v>
      </c>
      <c r="P67" s="42" t="str">
        <f t="shared" si="3"/>
        <v>-</v>
      </c>
      <c r="Q67" s="46" t="str">
        <f t="shared" si="10"/>
        <v>-</v>
      </c>
      <c r="R67" s="47"/>
      <c r="S67" s="46" t="str">
        <f t="shared" si="11"/>
        <v>-</v>
      </c>
      <c r="T67" s="47"/>
      <c r="U67" s="47" t="str">
        <f t="shared" si="12"/>
        <v>-</v>
      </c>
      <c r="V67" s="47"/>
      <c r="W67" s="47"/>
      <c r="X67" s="47"/>
      <c r="Y67" s="47"/>
      <c r="Z67" s="47"/>
      <c r="AA67" s="31">
        <v>43</v>
      </c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BA67" s="27" t="str">
        <f t="shared" si="13"/>
        <v>-</v>
      </c>
      <c r="BC67" s="26" t="str">
        <f t="shared" ca="1" si="14"/>
        <v>2029</v>
      </c>
      <c r="BD67" s="26" t="str">
        <f t="shared" ca="1" si="15"/>
        <v>03</v>
      </c>
      <c r="BE67" s="26">
        <f t="shared" ca="1" si="16"/>
        <v>16</v>
      </c>
      <c r="BF67" s="27" t="str">
        <f t="shared" ca="1" si="17"/>
        <v>viernes</v>
      </c>
      <c r="BG67" s="27">
        <f t="shared" ca="1" si="18"/>
        <v>47193</v>
      </c>
      <c r="BK67" s="26" t="str">
        <f t="shared" ca="1" si="20"/>
        <v>2029</v>
      </c>
      <c r="BL67" s="26" t="str">
        <f t="shared" ca="1" si="23"/>
        <v>04</v>
      </c>
      <c r="BM67" s="26">
        <f t="shared" ca="1" si="22"/>
        <v>1</v>
      </c>
      <c r="BN67" s="26" t="str">
        <f t="shared" ca="1" si="19"/>
        <v>domingo</v>
      </c>
      <c r="BO67" s="27" t="str">
        <f t="shared" si="4"/>
        <v>-</v>
      </c>
    </row>
    <row r="68" spans="3:67" s="26" customFormat="1" ht="12">
      <c r="C68" s="50">
        <v>44</v>
      </c>
      <c r="D68" s="39" t="str">
        <f t="shared" si="5"/>
        <v>-</v>
      </c>
      <c r="E68" s="81" t="str">
        <f>IF($E$20="No",IF(BF68="sábado",IF($E$7&gt;=C68,BG68+$Q$19,"-"),IF($E$7&gt;=C68,D68+$Q$19,"-")),BO68)</f>
        <v>-</v>
      </c>
      <c r="F68" s="78" t="str">
        <f t="shared" si="6"/>
        <v>-</v>
      </c>
      <c r="G68" s="51" t="str">
        <f t="shared" si="7"/>
        <v>-</v>
      </c>
      <c r="H68" s="41" t="str">
        <f t="shared" si="8"/>
        <v>-</v>
      </c>
      <c r="I68" s="42" t="str">
        <f t="shared" si="9"/>
        <v>-</v>
      </c>
      <c r="J68" s="42" t="str">
        <f t="shared" si="0"/>
        <v>-</v>
      </c>
      <c r="K68" s="42" t="str">
        <f t="shared" si="1"/>
        <v>-</v>
      </c>
      <c r="L68" s="42" t="str">
        <f>IF($E$7&gt;C68,ROUND($E$6/$H$97,2),IF($E$7=C68,J68+K68,"-"))</f>
        <v>-</v>
      </c>
      <c r="M68" s="52" t="str">
        <f t="shared" si="2"/>
        <v>-</v>
      </c>
      <c r="N68" s="48" t="str">
        <f>IF($E$7&gt;=C68,(IF(((Q68-(K68+(J67 * -1)+1))&lt;=0),1,((SUM(J$25:$J68)-(SUM($O$24:$O$26)))))),"-")</f>
        <v>-</v>
      </c>
      <c r="O68" s="45" t="str">
        <f>IF($E$7&gt;=C68,(IF((N68&lt;=0),1,((SUM($J$25:J68)-(SUM($O$24:O67)))))),"-")</f>
        <v>-</v>
      </c>
      <c r="P68" s="42" t="str">
        <f t="shared" si="3"/>
        <v>-</v>
      </c>
      <c r="Q68" s="46" t="str">
        <f t="shared" si="10"/>
        <v>-</v>
      </c>
      <c r="R68" s="47"/>
      <c r="S68" s="46" t="str">
        <f t="shared" si="11"/>
        <v>-</v>
      </c>
      <c r="T68" s="47"/>
      <c r="U68" s="47" t="str">
        <f t="shared" si="12"/>
        <v>-</v>
      </c>
      <c r="V68" s="47"/>
      <c r="W68" s="47"/>
      <c r="X68" s="47"/>
      <c r="Y68" s="47"/>
      <c r="Z68" s="47"/>
      <c r="AA68" s="31">
        <v>44</v>
      </c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BA68" s="27" t="str">
        <f t="shared" si="13"/>
        <v>-</v>
      </c>
      <c r="BC68" s="26" t="str">
        <f t="shared" ca="1" si="14"/>
        <v>2029</v>
      </c>
      <c r="BD68" s="26" t="str">
        <f t="shared" ca="1" si="15"/>
        <v>04</v>
      </c>
      <c r="BE68" s="26">
        <f t="shared" ca="1" si="16"/>
        <v>16</v>
      </c>
      <c r="BF68" s="27" t="str">
        <f t="shared" ca="1" si="17"/>
        <v>lunes</v>
      </c>
      <c r="BG68" s="27">
        <f t="shared" ca="1" si="18"/>
        <v>47224</v>
      </c>
      <c r="BK68" s="26" t="str">
        <f t="shared" ca="1" si="20"/>
        <v>2029</v>
      </c>
      <c r="BL68" s="26" t="str">
        <f t="shared" ca="1" si="23"/>
        <v>05</v>
      </c>
      <c r="BM68" s="26">
        <f t="shared" ca="1" si="22"/>
        <v>1</v>
      </c>
      <c r="BN68" s="26" t="str">
        <f t="shared" ca="1" si="19"/>
        <v>martes</v>
      </c>
      <c r="BO68" s="27" t="str">
        <f t="shared" si="4"/>
        <v>-</v>
      </c>
    </row>
    <row r="69" spans="3:67" s="26" customFormat="1" ht="12">
      <c r="C69" s="50">
        <v>45</v>
      </c>
      <c r="D69" s="39" t="str">
        <f t="shared" si="5"/>
        <v>-</v>
      </c>
      <c r="E69" s="81" t="str">
        <f>IF($E$20="No",IF(BF69="sábado",IF($E$7&gt;=C69,BG69+$Q$19,"-"),IF($E$7&gt;=C69,D69+$Q$19,"-")),BO69)</f>
        <v>-</v>
      </c>
      <c r="F69" s="78" t="str">
        <f t="shared" si="6"/>
        <v>-</v>
      </c>
      <c r="G69" s="51" t="str">
        <f t="shared" si="7"/>
        <v>-</v>
      </c>
      <c r="H69" s="41" t="str">
        <f t="shared" si="8"/>
        <v>-</v>
      </c>
      <c r="I69" s="42" t="str">
        <f t="shared" si="9"/>
        <v>-</v>
      </c>
      <c r="J69" s="42" t="str">
        <f t="shared" si="0"/>
        <v>-</v>
      </c>
      <c r="K69" s="42" t="str">
        <f t="shared" si="1"/>
        <v>-</v>
      </c>
      <c r="L69" s="42" t="str">
        <f>IF($E$7&gt;C69,ROUND($E$6/$H$97,2),IF($E$7=C69,J69+K69,"-"))</f>
        <v>-</v>
      </c>
      <c r="M69" s="52" t="str">
        <f t="shared" si="2"/>
        <v>-</v>
      </c>
      <c r="N69" s="48" t="str">
        <f>IF($E$7&gt;=C69,(IF(((Q69-(K69+(J68 * -1)+1))&lt;=0),1,((SUM(J$25:$J69)-(SUM($O$24:$O$26)))))),"-")</f>
        <v>-</v>
      </c>
      <c r="O69" s="45" t="str">
        <f>IF($E$7&gt;=C69,(IF((N69&lt;=0),1,((SUM($J$25:J69)-(SUM($O$24:O68)))))),"-")</f>
        <v>-</v>
      </c>
      <c r="P69" s="42" t="str">
        <f t="shared" si="3"/>
        <v>-</v>
      </c>
      <c r="Q69" s="46" t="str">
        <f t="shared" si="10"/>
        <v>-</v>
      </c>
      <c r="R69" s="47"/>
      <c r="S69" s="46" t="str">
        <f t="shared" si="11"/>
        <v>-</v>
      </c>
      <c r="T69" s="47"/>
      <c r="U69" s="47" t="str">
        <f t="shared" si="12"/>
        <v>-</v>
      </c>
      <c r="V69" s="47"/>
      <c r="W69" s="47"/>
      <c r="X69" s="47"/>
      <c r="Y69" s="47"/>
      <c r="Z69" s="47"/>
      <c r="AA69" s="31">
        <v>45</v>
      </c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BA69" s="27" t="str">
        <f t="shared" si="13"/>
        <v>-</v>
      </c>
      <c r="BC69" s="26" t="str">
        <f t="shared" ca="1" si="14"/>
        <v>2029</v>
      </c>
      <c r="BD69" s="26" t="str">
        <f t="shared" ca="1" si="15"/>
        <v>05</v>
      </c>
      <c r="BE69" s="26">
        <f t="shared" ca="1" si="16"/>
        <v>16</v>
      </c>
      <c r="BF69" s="27" t="str">
        <f t="shared" ca="1" si="17"/>
        <v>miércoles</v>
      </c>
      <c r="BG69" s="27">
        <f t="shared" ca="1" si="18"/>
        <v>47254</v>
      </c>
      <c r="BK69" s="26" t="str">
        <f t="shared" ca="1" si="20"/>
        <v>2029</v>
      </c>
      <c r="BL69" s="26" t="str">
        <f t="shared" ca="1" si="23"/>
        <v>06</v>
      </c>
      <c r="BM69" s="26">
        <f t="shared" ca="1" si="22"/>
        <v>1</v>
      </c>
      <c r="BN69" s="26" t="str">
        <f t="shared" ca="1" si="19"/>
        <v>viernes</v>
      </c>
      <c r="BO69" s="27" t="str">
        <f t="shared" si="4"/>
        <v>-</v>
      </c>
    </row>
    <row r="70" spans="3:67" s="26" customFormat="1" ht="12">
      <c r="C70" s="50">
        <v>46</v>
      </c>
      <c r="D70" s="39" t="str">
        <f t="shared" si="5"/>
        <v>-</v>
      </c>
      <c r="E70" s="81" t="str">
        <f>IF($E$20="No",IF(BF70="sábado",IF($E$7&gt;=C70,BG70+$Q$19,"-"),IF($E$7&gt;=C70,D70+$Q$19,"-")),BO70)</f>
        <v>-</v>
      </c>
      <c r="F70" s="78" t="str">
        <f t="shared" si="6"/>
        <v>-</v>
      </c>
      <c r="G70" s="51" t="str">
        <f t="shared" si="7"/>
        <v>-</v>
      </c>
      <c r="H70" s="41" t="str">
        <f t="shared" si="8"/>
        <v>-</v>
      </c>
      <c r="I70" s="42" t="str">
        <f t="shared" si="9"/>
        <v>-</v>
      </c>
      <c r="J70" s="42" t="str">
        <f t="shared" si="0"/>
        <v>-</v>
      </c>
      <c r="K70" s="42" t="str">
        <f t="shared" si="1"/>
        <v>-</v>
      </c>
      <c r="L70" s="42" t="str">
        <f>IF($E$7&gt;C70,ROUND($E$6/$H$97,2),IF($E$7=C70,J70+K70,"-"))</f>
        <v>-</v>
      </c>
      <c r="M70" s="52" t="str">
        <f t="shared" si="2"/>
        <v>-</v>
      </c>
      <c r="N70" s="48" t="str">
        <f>IF($E$7&gt;=C70,(IF(((Q70-(K70+(J69 * -1)+1))&lt;=0),1,((SUM(J$25:$J70)-(SUM($O$24:$O$26)))))),"-")</f>
        <v>-</v>
      </c>
      <c r="O70" s="45" t="str">
        <f>IF($E$7&gt;=C70,(IF((N70&lt;=0),1,((SUM($J$25:J70)-(SUM($O$24:O69)))))),"-")</f>
        <v>-</v>
      </c>
      <c r="P70" s="42" t="str">
        <f t="shared" si="3"/>
        <v>-</v>
      </c>
      <c r="Q70" s="46" t="str">
        <f t="shared" si="10"/>
        <v>-</v>
      </c>
      <c r="R70" s="47"/>
      <c r="S70" s="46" t="str">
        <f t="shared" si="11"/>
        <v>-</v>
      </c>
      <c r="T70" s="47"/>
      <c r="U70" s="47" t="str">
        <f t="shared" si="12"/>
        <v>-</v>
      </c>
      <c r="V70" s="47"/>
      <c r="W70" s="47"/>
      <c r="X70" s="47"/>
      <c r="Y70" s="47"/>
      <c r="Z70" s="47"/>
      <c r="AA70" s="31">
        <v>46</v>
      </c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BA70" s="27" t="str">
        <f t="shared" si="13"/>
        <v>-</v>
      </c>
      <c r="BC70" s="26" t="str">
        <f t="shared" ca="1" si="14"/>
        <v>2029</v>
      </c>
      <c r="BD70" s="26" t="str">
        <f t="shared" ca="1" si="15"/>
        <v>06</v>
      </c>
      <c r="BE70" s="26">
        <f t="shared" ca="1" si="16"/>
        <v>16</v>
      </c>
      <c r="BF70" s="27" t="str">
        <f t="shared" ca="1" si="17"/>
        <v>sábado</v>
      </c>
      <c r="BG70" s="27">
        <f t="shared" ca="1" si="18"/>
        <v>47285</v>
      </c>
      <c r="BK70" s="26" t="str">
        <f t="shared" ca="1" si="20"/>
        <v>2029</v>
      </c>
      <c r="BL70" s="26" t="str">
        <f t="shared" ca="1" si="23"/>
        <v>07</v>
      </c>
      <c r="BM70" s="26">
        <f t="shared" ca="1" si="22"/>
        <v>1</v>
      </c>
      <c r="BN70" s="26" t="str">
        <f t="shared" ca="1" si="19"/>
        <v>domingo</v>
      </c>
      <c r="BO70" s="27" t="str">
        <f t="shared" si="4"/>
        <v>-</v>
      </c>
    </row>
    <row r="71" spans="3:67" s="26" customFormat="1" ht="12">
      <c r="C71" s="50">
        <v>47</v>
      </c>
      <c r="D71" s="39" t="str">
        <f t="shared" si="5"/>
        <v>-</v>
      </c>
      <c r="E71" s="81" t="str">
        <f>IF($E$20="No",IF(BF71="sábado",IF($E$7&gt;=C71,BG71+$Q$19,"-"),IF($E$7&gt;=C71,D71+$Q$19,"-")),BO71)</f>
        <v>-</v>
      </c>
      <c r="F71" s="78" t="str">
        <f t="shared" si="6"/>
        <v>-</v>
      </c>
      <c r="G71" s="51" t="str">
        <f t="shared" si="7"/>
        <v>-</v>
      </c>
      <c r="H71" s="41" t="str">
        <f t="shared" si="8"/>
        <v>-</v>
      </c>
      <c r="I71" s="42" t="str">
        <f t="shared" si="9"/>
        <v>-</v>
      </c>
      <c r="J71" s="42" t="str">
        <f t="shared" si="0"/>
        <v>-</v>
      </c>
      <c r="K71" s="42" t="str">
        <f t="shared" si="1"/>
        <v>-</v>
      </c>
      <c r="L71" s="42" t="str">
        <f>IF($E$7&gt;C71,ROUND($E$6/$H$97,2),IF($E$7=C71,J71+K71,"-"))</f>
        <v>-</v>
      </c>
      <c r="M71" s="52" t="str">
        <f t="shared" si="2"/>
        <v>-</v>
      </c>
      <c r="N71" s="48" t="str">
        <f>IF($E$7&gt;=C71,(IF(((Q71-(K71+(J70 * -1)+1))&lt;=0),1,((SUM(J$25:$J71)-(SUM($O$24:$O$26)))))),"-")</f>
        <v>-</v>
      </c>
      <c r="O71" s="45" t="str">
        <f>IF($E$7&gt;=C71,(IF((N71&lt;=0),1,((SUM($J$25:J71)-(SUM($O$24:O70)))))),"-")</f>
        <v>-</v>
      </c>
      <c r="P71" s="42" t="str">
        <f t="shared" si="3"/>
        <v>-</v>
      </c>
      <c r="Q71" s="46" t="str">
        <f t="shared" si="10"/>
        <v>-</v>
      </c>
      <c r="R71" s="47"/>
      <c r="S71" s="46" t="str">
        <f t="shared" si="11"/>
        <v>-</v>
      </c>
      <c r="T71" s="47"/>
      <c r="U71" s="47" t="str">
        <f t="shared" si="12"/>
        <v>-</v>
      </c>
      <c r="V71" s="47"/>
      <c r="W71" s="47"/>
      <c r="X71" s="47"/>
      <c r="Y71" s="47"/>
      <c r="Z71" s="47"/>
      <c r="AA71" s="31">
        <v>47</v>
      </c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BA71" s="27" t="str">
        <f t="shared" si="13"/>
        <v>-</v>
      </c>
      <c r="BC71" s="26" t="str">
        <f t="shared" ca="1" si="14"/>
        <v>2029</v>
      </c>
      <c r="BD71" s="26" t="str">
        <f t="shared" ca="1" si="15"/>
        <v>07</v>
      </c>
      <c r="BE71" s="26">
        <f t="shared" ca="1" si="16"/>
        <v>16</v>
      </c>
      <c r="BF71" s="27" t="str">
        <f t="shared" ca="1" si="17"/>
        <v>lunes</v>
      </c>
      <c r="BG71" s="27">
        <f t="shared" ca="1" si="18"/>
        <v>47315</v>
      </c>
      <c r="BK71" s="26" t="str">
        <f t="shared" ca="1" si="20"/>
        <v>2029</v>
      </c>
      <c r="BL71" s="26" t="str">
        <f t="shared" ca="1" si="23"/>
        <v>08</v>
      </c>
      <c r="BM71" s="26">
        <f t="shared" ca="1" si="22"/>
        <v>1</v>
      </c>
      <c r="BN71" s="26" t="str">
        <f t="shared" ca="1" si="19"/>
        <v>miércoles</v>
      </c>
      <c r="BO71" s="27" t="str">
        <f t="shared" si="4"/>
        <v>-</v>
      </c>
    </row>
    <row r="72" spans="3:67" s="26" customFormat="1" ht="12">
      <c r="C72" s="50">
        <v>48</v>
      </c>
      <c r="D72" s="39" t="str">
        <f t="shared" si="5"/>
        <v>-</v>
      </c>
      <c r="E72" s="81" t="str">
        <f>IF($E$20="No",IF(BF72="sábado",IF($E$7&gt;=C72,BG72+$Q$19,"-"),IF($E$7&gt;=C72,D72+$Q$19,"-")),BO72)</f>
        <v>-</v>
      </c>
      <c r="F72" s="78" t="str">
        <f t="shared" si="6"/>
        <v>-</v>
      </c>
      <c r="G72" s="51" t="str">
        <f t="shared" si="7"/>
        <v>-</v>
      </c>
      <c r="H72" s="41" t="str">
        <f t="shared" si="8"/>
        <v>-</v>
      </c>
      <c r="I72" s="42" t="str">
        <f t="shared" si="9"/>
        <v>-</v>
      </c>
      <c r="J72" s="42" t="str">
        <f t="shared" si="0"/>
        <v>-</v>
      </c>
      <c r="K72" s="42" t="str">
        <f t="shared" si="1"/>
        <v>-</v>
      </c>
      <c r="L72" s="42" t="str">
        <f>IF($E$7&gt;C72,ROUND($E$6/$H$97,2),IF($E$7=C72,J72+K72,"-"))</f>
        <v>-</v>
      </c>
      <c r="M72" s="52" t="str">
        <f t="shared" si="2"/>
        <v>-</v>
      </c>
      <c r="N72" s="48" t="str">
        <f>IF($E$7&gt;=C72,(IF(((Q72-(K72+(J71 * -1)+1))&lt;=0),1,((SUM(J$25:$J72)-(SUM($O$24:$O$26)))))),"-")</f>
        <v>-</v>
      </c>
      <c r="O72" s="45" t="str">
        <f>IF($E$7&gt;=C72,(IF((N72&lt;=0),1,((SUM($J$25:J72)-(SUM($O$24:O71)))))),"-")</f>
        <v>-</v>
      </c>
      <c r="P72" s="42" t="str">
        <f t="shared" si="3"/>
        <v>-</v>
      </c>
      <c r="Q72" s="46" t="str">
        <f t="shared" si="10"/>
        <v>-</v>
      </c>
      <c r="R72" s="47"/>
      <c r="S72" s="46" t="str">
        <f t="shared" si="11"/>
        <v>-</v>
      </c>
      <c r="T72" s="47"/>
      <c r="U72" s="47" t="str">
        <f t="shared" si="12"/>
        <v>-</v>
      </c>
      <c r="V72" s="47"/>
      <c r="W72" s="47"/>
      <c r="X72" s="47"/>
      <c r="Y72" s="47"/>
      <c r="Z72" s="47"/>
      <c r="AA72" s="31">
        <v>48</v>
      </c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BA72" s="27" t="str">
        <f t="shared" si="13"/>
        <v>-</v>
      </c>
      <c r="BC72" s="26" t="str">
        <f t="shared" ca="1" si="14"/>
        <v>2029</v>
      </c>
      <c r="BD72" s="26" t="str">
        <f t="shared" ca="1" si="15"/>
        <v>08</v>
      </c>
      <c r="BE72" s="26">
        <f t="shared" ca="1" si="16"/>
        <v>16</v>
      </c>
      <c r="BF72" s="27" t="str">
        <f t="shared" ca="1" si="17"/>
        <v>jueves</v>
      </c>
      <c r="BG72" s="27">
        <f t="shared" ca="1" si="18"/>
        <v>47346</v>
      </c>
      <c r="BK72" s="26" t="str">
        <f t="shared" ca="1" si="20"/>
        <v>2029</v>
      </c>
      <c r="BL72" s="26" t="str">
        <f t="shared" ca="1" si="23"/>
        <v>09</v>
      </c>
      <c r="BM72" s="26">
        <f t="shared" ca="1" si="22"/>
        <v>1</v>
      </c>
      <c r="BN72" s="26" t="str">
        <f t="shared" ca="1" si="19"/>
        <v>sábado</v>
      </c>
      <c r="BO72" s="27" t="str">
        <f t="shared" si="4"/>
        <v>-</v>
      </c>
    </row>
    <row r="73" spans="3:67" s="26" customFormat="1" ht="12">
      <c r="C73" s="50">
        <v>49</v>
      </c>
      <c r="D73" s="39" t="str">
        <f t="shared" si="5"/>
        <v>-</v>
      </c>
      <c r="E73" s="81" t="str">
        <f>IF($E$20="No",IF(BF73="sábado",IF($E$7&gt;=C73,BG73+$Q$19,"-"),IF($E$7&gt;=C73,D73+$Q$19,"-")),BO73)</f>
        <v>-</v>
      </c>
      <c r="F73" s="78" t="str">
        <f t="shared" si="6"/>
        <v>-</v>
      </c>
      <c r="G73" s="51" t="str">
        <f t="shared" si="7"/>
        <v>-</v>
      </c>
      <c r="H73" s="41" t="str">
        <f t="shared" si="8"/>
        <v>-</v>
      </c>
      <c r="I73" s="42" t="str">
        <f t="shared" si="9"/>
        <v>-</v>
      </c>
      <c r="J73" s="42" t="str">
        <f t="shared" si="0"/>
        <v>-</v>
      </c>
      <c r="K73" s="42" t="str">
        <f t="shared" si="1"/>
        <v>-</v>
      </c>
      <c r="L73" s="42" t="str">
        <f>IF($E$7&gt;C73,ROUND($E$6/$H$97,2),IF($E$7=C73,J73+K73,"-"))</f>
        <v>-</v>
      </c>
      <c r="M73" s="52" t="str">
        <f t="shared" si="2"/>
        <v>-</v>
      </c>
      <c r="N73" s="48" t="str">
        <f>IF($E$7&gt;=C73,(IF(((Q73-(K73+(J72 * -1)+1))&lt;=0),1,((SUM(J$25:$J73)-(SUM($O$24:$O$26)))))),"-")</f>
        <v>-</v>
      </c>
      <c r="O73" s="45" t="str">
        <f>IF($E$7&gt;=C73,(IF((N73&lt;=0),1,((SUM($J$25:J73)-(SUM($O$24:O72)))))),"-")</f>
        <v>-</v>
      </c>
      <c r="P73" s="42" t="str">
        <f t="shared" si="3"/>
        <v>-</v>
      </c>
      <c r="Q73" s="46" t="str">
        <f t="shared" si="10"/>
        <v>-</v>
      </c>
      <c r="R73" s="47"/>
      <c r="S73" s="46" t="str">
        <f t="shared" si="11"/>
        <v>-</v>
      </c>
      <c r="T73" s="47"/>
      <c r="U73" s="47" t="str">
        <f t="shared" si="12"/>
        <v>-</v>
      </c>
      <c r="V73" s="47"/>
      <c r="W73" s="47"/>
      <c r="X73" s="47"/>
      <c r="Y73" s="47"/>
      <c r="Z73" s="47"/>
      <c r="AA73" s="31">
        <v>49</v>
      </c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BA73" s="27" t="str">
        <f t="shared" si="13"/>
        <v>-</v>
      </c>
      <c r="BC73" s="26" t="str">
        <f t="shared" ca="1" si="14"/>
        <v>2029</v>
      </c>
      <c r="BD73" s="26" t="str">
        <f t="shared" ca="1" si="15"/>
        <v>09</v>
      </c>
      <c r="BE73" s="26">
        <f t="shared" ca="1" si="16"/>
        <v>16</v>
      </c>
      <c r="BF73" s="27" t="str">
        <f t="shared" ca="1" si="17"/>
        <v>domingo</v>
      </c>
      <c r="BG73" s="27">
        <f t="shared" ca="1" si="18"/>
        <v>47377</v>
      </c>
      <c r="BK73" s="26" t="str">
        <f t="shared" ca="1" si="20"/>
        <v>2029</v>
      </c>
      <c r="BL73" s="26" t="str">
        <f t="shared" ca="1" si="23"/>
        <v>10</v>
      </c>
      <c r="BM73" s="26">
        <f t="shared" ca="1" si="22"/>
        <v>1</v>
      </c>
      <c r="BN73" s="26" t="str">
        <f t="shared" ca="1" si="19"/>
        <v>lunes</v>
      </c>
      <c r="BO73" s="27" t="str">
        <f t="shared" si="4"/>
        <v>-</v>
      </c>
    </row>
    <row r="74" spans="3:67" s="26" customFormat="1" ht="12">
      <c r="C74" s="50">
        <v>50</v>
      </c>
      <c r="D74" s="39" t="str">
        <f t="shared" si="5"/>
        <v>-</v>
      </c>
      <c r="E74" s="81" t="str">
        <f>IF($E$20="No",IF(BF74="sábado",IF($E$7&gt;=C74,BG74+$Q$19,"-"),IF($E$7&gt;=C74,D74+$Q$19,"-")),BO74)</f>
        <v>-</v>
      </c>
      <c r="F74" s="78" t="str">
        <f t="shared" si="6"/>
        <v>-</v>
      </c>
      <c r="G74" s="51" t="str">
        <f t="shared" si="7"/>
        <v>-</v>
      </c>
      <c r="H74" s="41" t="str">
        <f t="shared" si="8"/>
        <v>-</v>
      </c>
      <c r="I74" s="42" t="str">
        <f t="shared" si="9"/>
        <v>-</v>
      </c>
      <c r="J74" s="42" t="str">
        <f t="shared" si="0"/>
        <v>-</v>
      </c>
      <c r="K74" s="42" t="str">
        <f t="shared" si="1"/>
        <v>-</v>
      </c>
      <c r="L74" s="42" t="str">
        <f>IF($E$7&gt;C74,ROUND($E$6/$H$97,2),IF($E$7=C74,J74+K74,"-"))</f>
        <v>-</v>
      </c>
      <c r="M74" s="52" t="str">
        <f t="shared" si="2"/>
        <v>-</v>
      </c>
      <c r="N74" s="48" t="str">
        <f>IF($E$7&gt;=C74,(IF(((Q74-(K74+(J73 * -1)+1))&lt;=0),1,((SUM(J$25:$J74)-(SUM($O$24:$O$26)))))),"-")</f>
        <v>-</v>
      </c>
      <c r="O74" s="45" t="str">
        <f>IF($E$7&gt;=C74,(IF((N74&lt;=0),1,((SUM($J$25:J74)-(SUM($O$24:O73)))))),"-")</f>
        <v>-</v>
      </c>
      <c r="P74" s="42" t="str">
        <f t="shared" si="3"/>
        <v>-</v>
      </c>
      <c r="Q74" s="46" t="str">
        <f t="shared" si="10"/>
        <v>-</v>
      </c>
      <c r="R74" s="47"/>
      <c r="S74" s="46" t="str">
        <f t="shared" si="11"/>
        <v>-</v>
      </c>
      <c r="T74" s="47"/>
      <c r="U74" s="47" t="str">
        <f t="shared" si="12"/>
        <v>-</v>
      </c>
      <c r="V74" s="47"/>
      <c r="W74" s="47"/>
      <c r="X74" s="47"/>
      <c r="Y74" s="47"/>
      <c r="Z74" s="47"/>
      <c r="AA74" s="31">
        <v>50</v>
      </c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BA74" s="27" t="str">
        <f t="shared" si="13"/>
        <v>-</v>
      </c>
      <c r="BC74" s="26" t="str">
        <f t="shared" ca="1" si="14"/>
        <v>2029</v>
      </c>
      <c r="BD74" s="26" t="str">
        <f t="shared" ca="1" si="15"/>
        <v>10</v>
      </c>
      <c r="BE74" s="26">
        <f t="shared" ca="1" si="16"/>
        <v>16</v>
      </c>
      <c r="BF74" s="27" t="str">
        <f t="shared" ca="1" si="17"/>
        <v>martes</v>
      </c>
      <c r="BG74" s="27">
        <f t="shared" ca="1" si="18"/>
        <v>47407</v>
      </c>
      <c r="BK74" s="26" t="str">
        <f t="shared" ca="1" si="20"/>
        <v>2029</v>
      </c>
      <c r="BL74" s="26" t="str">
        <f t="shared" ca="1" si="23"/>
        <v>11</v>
      </c>
      <c r="BM74" s="26">
        <f t="shared" ca="1" si="22"/>
        <v>1</v>
      </c>
      <c r="BN74" s="26" t="str">
        <f t="shared" ca="1" si="19"/>
        <v>jueves</v>
      </c>
      <c r="BO74" s="27" t="str">
        <f t="shared" si="4"/>
        <v>-</v>
      </c>
    </row>
    <row r="75" spans="3:67" s="26" customFormat="1" ht="12">
      <c r="C75" s="50">
        <v>51</v>
      </c>
      <c r="D75" s="39" t="str">
        <f t="shared" si="5"/>
        <v>-</v>
      </c>
      <c r="E75" s="81" t="str">
        <f>IF($E$20="No",IF(BF75="sábado",IF($E$7&gt;=C75,BG75+$Q$19,"-"),IF($E$7&gt;=C75,D75+$Q$19,"-")),BO75)</f>
        <v>-</v>
      </c>
      <c r="F75" s="78" t="str">
        <f t="shared" si="6"/>
        <v>-</v>
      </c>
      <c r="G75" s="51" t="str">
        <f t="shared" si="7"/>
        <v>-</v>
      </c>
      <c r="H75" s="41" t="str">
        <f t="shared" si="8"/>
        <v>-</v>
      </c>
      <c r="I75" s="42" t="str">
        <f t="shared" si="9"/>
        <v>-</v>
      </c>
      <c r="J75" s="42" t="str">
        <f t="shared" si="0"/>
        <v>-</v>
      </c>
      <c r="K75" s="42" t="str">
        <f t="shared" si="1"/>
        <v>-</v>
      </c>
      <c r="L75" s="42" t="str">
        <f>IF($E$7&gt;C75,ROUND($E$6/$H$97,2),IF($E$7=C75,J75+K75,"-"))</f>
        <v>-</v>
      </c>
      <c r="M75" s="52" t="str">
        <f t="shared" si="2"/>
        <v>-</v>
      </c>
      <c r="N75" s="48" t="str">
        <f>IF($E$7&gt;=C75,(IF(((Q75-(K75+(J74 * -1)+1))&lt;=0),1,((SUM(J$25:$J75)-(SUM($O$24:$O$26)))))),"-")</f>
        <v>-</v>
      </c>
      <c r="O75" s="45" t="str">
        <f>IF($E$7&gt;=C75,(IF((N75&lt;=0),1,((SUM($J$25:J75)-(SUM($O$24:O74)))))),"-")</f>
        <v>-</v>
      </c>
      <c r="P75" s="42" t="str">
        <f t="shared" si="3"/>
        <v>-</v>
      </c>
      <c r="Q75" s="46" t="str">
        <f t="shared" si="10"/>
        <v>-</v>
      </c>
      <c r="R75" s="47"/>
      <c r="S75" s="46" t="str">
        <f t="shared" si="11"/>
        <v>-</v>
      </c>
      <c r="T75" s="47"/>
      <c r="U75" s="47" t="str">
        <f t="shared" si="12"/>
        <v>-</v>
      </c>
      <c r="V75" s="47"/>
      <c r="W75" s="47"/>
      <c r="X75" s="47"/>
      <c r="Y75" s="47"/>
      <c r="Z75" s="47"/>
      <c r="AA75" s="31">
        <v>51</v>
      </c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BA75" s="27" t="str">
        <f t="shared" si="13"/>
        <v>-</v>
      </c>
      <c r="BC75" s="26" t="str">
        <f t="shared" ca="1" si="14"/>
        <v>2029</v>
      </c>
      <c r="BD75" s="26" t="str">
        <f t="shared" ca="1" si="15"/>
        <v>11</v>
      </c>
      <c r="BE75" s="26">
        <f t="shared" ca="1" si="16"/>
        <v>16</v>
      </c>
      <c r="BF75" s="27" t="str">
        <f t="shared" ca="1" si="17"/>
        <v>viernes</v>
      </c>
      <c r="BG75" s="27">
        <f t="shared" ca="1" si="18"/>
        <v>47438</v>
      </c>
      <c r="BK75" s="26" t="str">
        <f t="shared" ca="1" si="20"/>
        <v>2029</v>
      </c>
      <c r="BL75" s="26" t="str">
        <f t="shared" ca="1" si="23"/>
        <v>12</v>
      </c>
      <c r="BM75" s="26">
        <f t="shared" ca="1" si="22"/>
        <v>1</v>
      </c>
      <c r="BN75" s="26" t="str">
        <f t="shared" ca="1" si="19"/>
        <v>sábado</v>
      </c>
      <c r="BO75" s="27" t="str">
        <f t="shared" si="4"/>
        <v>-</v>
      </c>
    </row>
    <row r="76" spans="3:67" s="26" customFormat="1" ht="12">
      <c r="C76" s="50">
        <v>52</v>
      </c>
      <c r="D76" s="39" t="str">
        <f t="shared" si="5"/>
        <v>-</v>
      </c>
      <c r="E76" s="81" t="str">
        <f>IF($E$20="No",IF(BF76="sábado",IF($E$7&gt;=C76,BG76+$Q$19,"-"),IF($E$7&gt;=C76,D76+$Q$19,"-")),BO76)</f>
        <v>-</v>
      </c>
      <c r="F76" s="78" t="str">
        <f t="shared" si="6"/>
        <v>-</v>
      </c>
      <c r="G76" s="51" t="str">
        <f t="shared" si="7"/>
        <v>-</v>
      </c>
      <c r="H76" s="41" t="str">
        <f t="shared" si="8"/>
        <v>-</v>
      </c>
      <c r="I76" s="42" t="str">
        <f t="shared" si="9"/>
        <v>-</v>
      </c>
      <c r="J76" s="42" t="str">
        <f t="shared" si="0"/>
        <v>-</v>
      </c>
      <c r="K76" s="42" t="str">
        <f t="shared" si="1"/>
        <v>-</v>
      </c>
      <c r="L76" s="42" t="str">
        <f>IF($E$7&gt;C76,ROUND($E$6/$H$97,2),IF($E$7=C76,J76+K76,"-"))</f>
        <v>-</v>
      </c>
      <c r="M76" s="52" t="str">
        <f t="shared" si="2"/>
        <v>-</v>
      </c>
      <c r="N76" s="48" t="str">
        <f>IF($E$7&gt;=C76,(IF(((Q76-(K76+(J75 * -1)+1))&lt;=0),1,((SUM(J$25:$J76)-(SUM($O$24:$O$26)))))),"-")</f>
        <v>-</v>
      </c>
      <c r="O76" s="45" t="str">
        <f>IF($E$7&gt;=C76,(IF((N76&lt;=0),1,((SUM($J$25:J76)-(SUM($O$24:O75)))))),"-")</f>
        <v>-</v>
      </c>
      <c r="P76" s="42" t="str">
        <f t="shared" si="3"/>
        <v>-</v>
      </c>
      <c r="Q76" s="46" t="str">
        <f t="shared" si="10"/>
        <v>-</v>
      </c>
      <c r="R76" s="47"/>
      <c r="S76" s="46" t="str">
        <f t="shared" si="11"/>
        <v>-</v>
      </c>
      <c r="T76" s="47"/>
      <c r="U76" s="47" t="str">
        <f t="shared" si="12"/>
        <v>-</v>
      </c>
      <c r="V76" s="47"/>
      <c r="W76" s="47"/>
      <c r="X76" s="47"/>
      <c r="Y76" s="47"/>
      <c r="Z76" s="47"/>
      <c r="AA76" s="31">
        <v>52</v>
      </c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BA76" s="27" t="str">
        <f t="shared" si="13"/>
        <v>-</v>
      </c>
      <c r="BC76" s="26" t="str">
        <f t="shared" ca="1" si="14"/>
        <v>2029</v>
      </c>
      <c r="BD76" s="26" t="str">
        <f t="shared" ca="1" si="15"/>
        <v>12</v>
      </c>
      <c r="BE76" s="26">
        <f t="shared" ca="1" si="16"/>
        <v>16</v>
      </c>
      <c r="BF76" s="27" t="str">
        <f t="shared" ca="1" si="17"/>
        <v>domingo</v>
      </c>
      <c r="BG76" s="27">
        <f t="shared" ca="1" si="18"/>
        <v>47468</v>
      </c>
      <c r="BK76" s="26" t="str">
        <f t="shared" ca="1" si="20"/>
        <v>2030</v>
      </c>
      <c r="BL76" s="26" t="str">
        <f t="shared" ca="1" si="23"/>
        <v>01</v>
      </c>
      <c r="BM76" s="26">
        <f t="shared" ca="1" si="22"/>
        <v>1</v>
      </c>
      <c r="BN76" s="26" t="str">
        <f t="shared" ca="1" si="19"/>
        <v>martes</v>
      </c>
      <c r="BO76" s="27" t="str">
        <f t="shared" si="4"/>
        <v>-</v>
      </c>
    </row>
    <row r="77" spans="3:67" s="26" customFormat="1" ht="12">
      <c r="C77" s="50">
        <v>53</v>
      </c>
      <c r="D77" s="39" t="str">
        <f t="shared" si="5"/>
        <v>-</v>
      </c>
      <c r="E77" s="81" t="str">
        <f>IF($E$20="No",IF(BF77="sábado",IF($E$7&gt;=C77,BG77+$Q$19,"-"),IF($E$7&gt;=C77,D77+$Q$19,"-")),BO77)</f>
        <v>-</v>
      </c>
      <c r="F77" s="78" t="str">
        <f t="shared" si="6"/>
        <v>-</v>
      </c>
      <c r="G77" s="51" t="str">
        <f t="shared" si="7"/>
        <v>-</v>
      </c>
      <c r="H77" s="41" t="str">
        <f t="shared" si="8"/>
        <v>-</v>
      </c>
      <c r="I77" s="42" t="str">
        <f t="shared" si="9"/>
        <v>-</v>
      </c>
      <c r="J77" s="42" t="str">
        <f t="shared" si="0"/>
        <v>-</v>
      </c>
      <c r="K77" s="42" t="str">
        <f t="shared" si="1"/>
        <v>-</v>
      </c>
      <c r="L77" s="42" t="str">
        <f>IF($E$7&gt;C77,ROUND($E$6/$H$97,2),IF($E$7=C77,J77+K77,"-"))</f>
        <v>-</v>
      </c>
      <c r="M77" s="52" t="str">
        <f t="shared" si="2"/>
        <v>-</v>
      </c>
      <c r="N77" s="48" t="str">
        <f>IF($E$7&gt;=C77,(IF(((Q77-(K77+(J76 * -1)+1))&lt;=0),1,((SUM(J$25:$J77)-(SUM($O$24:$O$26)))))),"-")</f>
        <v>-</v>
      </c>
      <c r="O77" s="45" t="str">
        <f>IF($E$7&gt;=C77,(IF((N77&lt;=0),1,((SUM($J$25:J77)-(SUM($O$24:O76)))))),"-")</f>
        <v>-</v>
      </c>
      <c r="P77" s="42" t="str">
        <f t="shared" si="3"/>
        <v>-</v>
      </c>
      <c r="Q77" s="46" t="str">
        <f t="shared" si="10"/>
        <v>-</v>
      </c>
      <c r="R77" s="47"/>
      <c r="S77" s="46" t="str">
        <f t="shared" si="11"/>
        <v>-</v>
      </c>
      <c r="T77" s="47"/>
      <c r="U77" s="47" t="str">
        <f t="shared" si="12"/>
        <v>-</v>
      </c>
      <c r="V77" s="47"/>
      <c r="W77" s="47"/>
      <c r="X77" s="47"/>
      <c r="Y77" s="47"/>
      <c r="Z77" s="47"/>
      <c r="AA77" s="31">
        <v>53</v>
      </c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BA77" s="27" t="str">
        <f t="shared" si="13"/>
        <v>-</v>
      </c>
      <c r="BC77" s="26" t="str">
        <f t="shared" ca="1" si="14"/>
        <v>2030</v>
      </c>
      <c r="BD77" s="26" t="str">
        <f t="shared" ca="1" si="15"/>
        <v>01</v>
      </c>
      <c r="BE77" s="26">
        <f t="shared" ca="1" si="16"/>
        <v>16</v>
      </c>
      <c r="BF77" s="27" t="str">
        <f t="shared" ca="1" si="17"/>
        <v>miércoles</v>
      </c>
      <c r="BG77" s="27">
        <f t="shared" ca="1" si="18"/>
        <v>47499</v>
      </c>
      <c r="BK77" s="26" t="str">
        <f t="shared" ca="1" si="20"/>
        <v>2030</v>
      </c>
      <c r="BL77" s="26" t="str">
        <f t="shared" ca="1" si="23"/>
        <v>02</v>
      </c>
      <c r="BM77" s="26">
        <f t="shared" ca="1" si="22"/>
        <v>1</v>
      </c>
      <c r="BN77" s="26" t="str">
        <f t="shared" ca="1" si="19"/>
        <v>viernes</v>
      </c>
      <c r="BO77" s="27" t="str">
        <f t="shared" si="4"/>
        <v>-</v>
      </c>
    </row>
    <row r="78" spans="3:67" s="26" customFormat="1" ht="12">
      <c r="C78" s="50">
        <v>54</v>
      </c>
      <c r="D78" s="39" t="str">
        <f t="shared" si="5"/>
        <v>-</v>
      </c>
      <c r="E78" s="81" t="str">
        <f>IF($E$20="No",IF(BF78="sábado",IF($E$7&gt;=C78,BG78+$Q$19,"-"),IF($E$7&gt;=C78,D78+$Q$19,"-")),BO78)</f>
        <v>-</v>
      </c>
      <c r="F78" s="78" t="str">
        <f t="shared" si="6"/>
        <v>-</v>
      </c>
      <c r="G78" s="51" t="str">
        <f t="shared" si="7"/>
        <v>-</v>
      </c>
      <c r="H78" s="41" t="str">
        <f t="shared" si="8"/>
        <v>-</v>
      </c>
      <c r="I78" s="42" t="str">
        <f t="shared" si="9"/>
        <v>-</v>
      </c>
      <c r="J78" s="42" t="str">
        <f t="shared" si="0"/>
        <v>-</v>
      </c>
      <c r="K78" s="42" t="str">
        <f t="shared" si="1"/>
        <v>-</v>
      </c>
      <c r="L78" s="42" t="str">
        <f>IF($E$7&gt;C78,ROUND($E$6/$H$97,2),IF($E$7=C78,J78+K78,"-"))</f>
        <v>-</v>
      </c>
      <c r="M78" s="52" t="str">
        <f t="shared" si="2"/>
        <v>-</v>
      </c>
      <c r="N78" s="48" t="str">
        <f>IF($E$7&gt;=C78,(IF(((Q78-(K78+(J77 * -1)+1))&lt;=0),1,((SUM(J$25:$J78)-(SUM($O$24:$O$26)))))),"-")</f>
        <v>-</v>
      </c>
      <c r="O78" s="45" t="str">
        <f>IF($E$7&gt;=C78,(IF((N78&lt;=0),1,((SUM($J$25:J78)-(SUM($O$24:O77)))))),"-")</f>
        <v>-</v>
      </c>
      <c r="P78" s="42" t="str">
        <f t="shared" si="3"/>
        <v>-</v>
      </c>
      <c r="Q78" s="46" t="str">
        <f t="shared" si="10"/>
        <v>-</v>
      </c>
      <c r="R78" s="47"/>
      <c r="S78" s="46" t="str">
        <f t="shared" si="11"/>
        <v>-</v>
      </c>
      <c r="T78" s="47"/>
      <c r="U78" s="47" t="str">
        <f t="shared" si="12"/>
        <v>-</v>
      </c>
      <c r="V78" s="47"/>
      <c r="W78" s="47"/>
      <c r="X78" s="47"/>
      <c r="Y78" s="47"/>
      <c r="Z78" s="47"/>
      <c r="AA78" s="31">
        <v>54</v>
      </c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BA78" s="27" t="str">
        <f t="shared" si="13"/>
        <v>-</v>
      </c>
      <c r="BC78" s="26" t="str">
        <f t="shared" ca="1" si="14"/>
        <v>2030</v>
      </c>
      <c r="BD78" s="26" t="str">
        <f t="shared" ca="1" si="15"/>
        <v>02</v>
      </c>
      <c r="BE78" s="26">
        <f t="shared" ca="1" si="16"/>
        <v>16</v>
      </c>
      <c r="BF78" s="27" t="str">
        <f t="shared" ca="1" si="17"/>
        <v>sábado</v>
      </c>
      <c r="BG78" s="27">
        <f t="shared" ca="1" si="18"/>
        <v>47530</v>
      </c>
      <c r="BK78" s="26" t="str">
        <f t="shared" ca="1" si="20"/>
        <v>2030</v>
      </c>
      <c r="BL78" s="26" t="str">
        <f t="shared" ca="1" si="23"/>
        <v>03</v>
      </c>
      <c r="BM78" s="26">
        <f t="shared" ca="1" si="22"/>
        <v>1</v>
      </c>
      <c r="BN78" s="26" t="str">
        <f t="shared" ca="1" si="19"/>
        <v>viernes</v>
      </c>
      <c r="BO78" s="27" t="str">
        <f t="shared" si="4"/>
        <v>-</v>
      </c>
    </row>
    <row r="79" spans="3:67" s="26" customFormat="1" ht="12">
      <c r="C79" s="50">
        <v>55</v>
      </c>
      <c r="D79" s="39" t="str">
        <f t="shared" si="5"/>
        <v>-</v>
      </c>
      <c r="E79" s="81" t="str">
        <f>IF($E$20="No",IF(BF79="sábado",IF($E$7&gt;=C79,BG79+$Q$19,"-"),IF($E$7&gt;=C79,D79+$Q$19,"-")),BO79)</f>
        <v>-</v>
      </c>
      <c r="F79" s="78" t="str">
        <f t="shared" si="6"/>
        <v>-</v>
      </c>
      <c r="G79" s="51" t="str">
        <f t="shared" si="7"/>
        <v>-</v>
      </c>
      <c r="H79" s="41" t="str">
        <f t="shared" si="8"/>
        <v>-</v>
      </c>
      <c r="I79" s="42" t="str">
        <f t="shared" si="9"/>
        <v>-</v>
      </c>
      <c r="J79" s="42" t="str">
        <f t="shared" si="0"/>
        <v>-</v>
      </c>
      <c r="K79" s="42" t="str">
        <f t="shared" si="1"/>
        <v>-</v>
      </c>
      <c r="L79" s="42" t="str">
        <f>IF($E$7&gt;C79,ROUND($E$6/$H$97,2),IF($E$7=C79,J79+K79,"-"))</f>
        <v>-</v>
      </c>
      <c r="M79" s="52" t="str">
        <f t="shared" si="2"/>
        <v>-</v>
      </c>
      <c r="N79" s="48" t="str">
        <f>IF($E$7&gt;=C79,(IF(((Q79-(K79+(J78 * -1)+1))&lt;=0),1,((SUM(J$25:$J79)-(SUM($O$24:$O$26)))))),"-")</f>
        <v>-</v>
      </c>
      <c r="O79" s="45" t="str">
        <f>IF($E$7&gt;=C79,(IF((N79&lt;=0),1,((SUM($J$25:J79)-(SUM($O$24:O78)))))),"-")</f>
        <v>-</v>
      </c>
      <c r="P79" s="42" t="str">
        <f t="shared" si="3"/>
        <v>-</v>
      </c>
      <c r="Q79" s="46" t="str">
        <f t="shared" si="10"/>
        <v>-</v>
      </c>
      <c r="R79" s="47"/>
      <c r="S79" s="46" t="str">
        <f t="shared" si="11"/>
        <v>-</v>
      </c>
      <c r="T79" s="47"/>
      <c r="U79" s="47" t="str">
        <f t="shared" si="12"/>
        <v>-</v>
      </c>
      <c r="V79" s="47"/>
      <c r="W79" s="47"/>
      <c r="X79" s="47"/>
      <c r="Y79" s="47"/>
      <c r="Z79" s="47"/>
      <c r="AA79" s="31">
        <v>55</v>
      </c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BA79" s="27" t="str">
        <f t="shared" si="13"/>
        <v>-</v>
      </c>
      <c r="BC79" s="26" t="str">
        <f t="shared" ca="1" si="14"/>
        <v>2030</v>
      </c>
      <c r="BD79" s="26" t="str">
        <f t="shared" ca="1" si="15"/>
        <v>03</v>
      </c>
      <c r="BE79" s="26">
        <f t="shared" ca="1" si="16"/>
        <v>16</v>
      </c>
      <c r="BF79" s="27" t="str">
        <f t="shared" ca="1" si="17"/>
        <v>sábado</v>
      </c>
      <c r="BG79" s="27">
        <f t="shared" ca="1" si="18"/>
        <v>47558</v>
      </c>
      <c r="BK79" s="26" t="str">
        <f t="shared" ca="1" si="20"/>
        <v>2030</v>
      </c>
      <c r="BL79" s="26" t="str">
        <f t="shared" ca="1" si="23"/>
        <v>04</v>
      </c>
      <c r="BM79" s="26">
        <f t="shared" ca="1" si="22"/>
        <v>1</v>
      </c>
      <c r="BN79" s="26" t="str">
        <f t="shared" ca="1" si="19"/>
        <v>lunes</v>
      </c>
      <c r="BO79" s="27" t="str">
        <f t="shared" si="4"/>
        <v>-</v>
      </c>
    </row>
    <row r="80" spans="3:67" s="26" customFormat="1" ht="12">
      <c r="C80" s="50">
        <v>56</v>
      </c>
      <c r="D80" s="39" t="str">
        <f t="shared" si="5"/>
        <v>-</v>
      </c>
      <c r="E80" s="81" t="str">
        <f>IF($E$20="No",IF(BF80="sábado",IF($E$7&gt;=C80,BG80+$Q$19,"-"),IF($E$7&gt;=C80,D80+$Q$19,"-")),BO80)</f>
        <v>-</v>
      </c>
      <c r="F80" s="78" t="str">
        <f t="shared" si="6"/>
        <v>-</v>
      </c>
      <c r="G80" s="51" t="str">
        <f t="shared" si="7"/>
        <v>-</v>
      </c>
      <c r="H80" s="41" t="str">
        <f t="shared" si="8"/>
        <v>-</v>
      </c>
      <c r="I80" s="42" t="str">
        <f t="shared" si="9"/>
        <v>-</v>
      </c>
      <c r="J80" s="42" t="str">
        <f t="shared" si="0"/>
        <v>-</v>
      </c>
      <c r="K80" s="42" t="str">
        <f t="shared" si="1"/>
        <v>-</v>
      </c>
      <c r="L80" s="42" t="str">
        <f>IF($E$7&gt;C80,ROUND($E$6/$H$97,2),IF($E$7=C80,J80+K80,"-"))</f>
        <v>-</v>
      </c>
      <c r="M80" s="52" t="str">
        <f t="shared" si="2"/>
        <v>-</v>
      </c>
      <c r="N80" s="48" t="str">
        <f>IF($E$7&gt;=C80,(IF(((Q80-(K80+(J79 * -1)+1))&lt;=0),1,((SUM(J$25:$J80)-(SUM($O$24:$O$26)))))),"-")</f>
        <v>-</v>
      </c>
      <c r="O80" s="45" t="str">
        <f>IF($E$7&gt;=C80,(IF((N80&lt;=0),1,((SUM($J$25:J80)-(SUM($O$24:O79)))))),"-")</f>
        <v>-</v>
      </c>
      <c r="P80" s="42" t="str">
        <f t="shared" si="3"/>
        <v>-</v>
      </c>
      <c r="Q80" s="46" t="str">
        <f t="shared" si="10"/>
        <v>-</v>
      </c>
      <c r="R80" s="47"/>
      <c r="S80" s="46" t="str">
        <f t="shared" si="11"/>
        <v>-</v>
      </c>
      <c r="T80" s="47"/>
      <c r="U80" s="47" t="str">
        <f t="shared" si="12"/>
        <v>-</v>
      </c>
      <c r="V80" s="47"/>
      <c r="W80" s="47"/>
      <c r="X80" s="47"/>
      <c r="Y80" s="47"/>
      <c r="Z80" s="47"/>
      <c r="AA80" s="31">
        <v>56</v>
      </c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BA80" s="27" t="str">
        <f t="shared" si="13"/>
        <v>-</v>
      </c>
      <c r="BC80" s="26" t="str">
        <f t="shared" ca="1" si="14"/>
        <v>2030</v>
      </c>
      <c r="BD80" s="26" t="str">
        <f t="shared" ca="1" si="15"/>
        <v>04</v>
      </c>
      <c r="BE80" s="26">
        <f t="shared" ca="1" si="16"/>
        <v>16</v>
      </c>
      <c r="BF80" s="27" t="str">
        <f t="shared" ca="1" si="17"/>
        <v>martes</v>
      </c>
      <c r="BG80" s="27">
        <f t="shared" ca="1" si="18"/>
        <v>47589</v>
      </c>
      <c r="BK80" s="26" t="str">
        <f t="shared" ca="1" si="20"/>
        <v>2030</v>
      </c>
      <c r="BL80" s="26" t="str">
        <f t="shared" ca="1" si="23"/>
        <v>05</v>
      </c>
      <c r="BM80" s="26">
        <f t="shared" ca="1" si="22"/>
        <v>1</v>
      </c>
      <c r="BN80" s="26" t="str">
        <f t="shared" ca="1" si="19"/>
        <v>miércoles</v>
      </c>
      <c r="BO80" s="27" t="str">
        <f t="shared" si="4"/>
        <v>-</v>
      </c>
    </row>
    <row r="81" spans="3:67" s="26" customFormat="1" ht="12">
      <c r="C81" s="50">
        <v>57</v>
      </c>
      <c r="D81" s="39" t="str">
        <f t="shared" si="5"/>
        <v>-</v>
      </c>
      <c r="E81" s="81" t="str">
        <f>IF($E$20="No",IF(BF81="sábado",IF($E$7&gt;=C81,BG81+$Q$19,"-"),IF($E$7&gt;=C81,D81+$Q$19,"-")),BO81)</f>
        <v>-</v>
      </c>
      <c r="F81" s="78" t="str">
        <f t="shared" si="6"/>
        <v>-</v>
      </c>
      <c r="G81" s="51" t="str">
        <f t="shared" si="7"/>
        <v>-</v>
      </c>
      <c r="H81" s="41" t="str">
        <f t="shared" si="8"/>
        <v>-</v>
      </c>
      <c r="I81" s="42" t="str">
        <f t="shared" si="9"/>
        <v>-</v>
      </c>
      <c r="J81" s="42" t="str">
        <f t="shared" si="0"/>
        <v>-</v>
      </c>
      <c r="K81" s="42" t="str">
        <f t="shared" si="1"/>
        <v>-</v>
      </c>
      <c r="L81" s="42" t="str">
        <f>IF($E$7&gt;C81,ROUND($E$6/$H$97,2),IF($E$7=C81,J81+K81,"-"))</f>
        <v>-</v>
      </c>
      <c r="M81" s="52" t="str">
        <f t="shared" si="2"/>
        <v>-</v>
      </c>
      <c r="N81" s="48" t="str">
        <f>IF($E$7&gt;=C81,(IF(((Q81-(K81+(J80 * -1)+1))&lt;=0),1,((SUM(J$25:$J81)-(SUM($O$24:$O$26)))))),"-")</f>
        <v>-</v>
      </c>
      <c r="O81" s="45" t="str">
        <f>IF($E$7&gt;=C81,(IF((N81&lt;=0),1,((SUM($J$25:J81)-(SUM($O$24:O80)))))),"-")</f>
        <v>-</v>
      </c>
      <c r="P81" s="42" t="str">
        <f t="shared" si="3"/>
        <v>-</v>
      </c>
      <c r="Q81" s="46" t="str">
        <f t="shared" si="10"/>
        <v>-</v>
      </c>
      <c r="R81" s="47"/>
      <c r="S81" s="46" t="str">
        <f t="shared" si="11"/>
        <v>-</v>
      </c>
      <c r="T81" s="47"/>
      <c r="U81" s="47" t="str">
        <f t="shared" si="12"/>
        <v>-</v>
      </c>
      <c r="V81" s="47"/>
      <c r="W81" s="47"/>
      <c r="X81" s="47"/>
      <c r="Y81" s="47"/>
      <c r="Z81" s="47"/>
      <c r="AA81" s="31">
        <v>57</v>
      </c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BA81" s="27" t="str">
        <f t="shared" si="13"/>
        <v>-</v>
      </c>
      <c r="BC81" s="26" t="str">
        <f t="shared" ca="1" si="14"/>
        <v>2030</v>
      </c>
      <c r="BD81" s="26" t="str">
        <f t="shared" ca="1" si="15"/>
        <v>05</v>
      </c>
      <c r="BE81" s="26">
        <f t="shared" ca="1" si="16"/>
        <v>16</v>
      </c>
      <c r="BF81" s="27" t="str">
        <f t="shared" ca="1" si="17"/>
        <v>jueves</v>
      </c>
      <c r="BG81" s="27">
        <f t="shared" ca="1" si="18"/>
        <v>47619</v>
      </c>
      <c r="BK81" s="26" t="str">
        <f t="shared" ca="1" si="20"/>
        <v>2030</v>
      </c>
      <c r="BL81" s="26" t="str">
        <f t="shared" ca="1" si="23"/>
        <v>06</v>
      </c>
      <c r="BM81" s="26">
        <f t="shared" ca="1" si="22"/>
        <v>1</v>
      </c>
      <c r="BN81" s="26" t="str">
        <f t="shared" ca="1" si="19"/>
        <v>sábado</v>
      </c>
      <c r="BO81" s="27" t="str">
        <f t="shared" si="4"/>
        <v>-</v>
      </c>
    </row>
    <row r="82" spans="3:67" s="26" customFormat="1" ht="12">
      <c r="C82" s="50">
        <v>58</v>
      </c>
      <c r="D82" s="39" t="str">
        <f t="shared" si="5"/>
        <v>-</v>
      </c>
      <c r="E82" s="81" t="str">
        <f>IF($E$20="No",IF(BF82="sábado",IF($E$7&gt;=C82,BG82+$Q$19,"-"),IF($E$7&gt;=C82,D82+$Q$19,"-")),BO82)</f>
        <v>-</v>
      </c>
      <c r="F82" s="78" t="str">
        <f t="shared" si="6"/>
        <v>-</v>
      </c>
      <c r="G82" s="51" t="str">
        <f t="shared" si="7"/>
        <v>-</v>
      </c>
      <c r="H82" s="41" t="str">
        <f t="shared" si="8"/>
        <v>-</v>
      </c>
      <c r="I82" s="42" t="str">
        <f t="shared" si="9"/>
        <v>-</v>
      </c>
      <c r="J82" s="42" t="str">
        <f t="shared" si="0"/>
        <v>-</v>
      </c>
      <c r="K82" s="42" t="str">
        <f t="shared" si="1"/>
        <v>-</v>
      </c>
      <c r="L82" s="42" t="str">
        <f>IF($E$7&gt;C82,ROUND($E$6/$H$97,2),IF($E$7=C82,J82+K82,"-"))</f>
        <v>-</v>
      </c>
      <c r="M82" s="52" t="str">
        <f t="shared" si="2"/>
        <v>-</v>
      </c>
      <c r="N82" s="48" t="str">
        <f>IF($E$7&gt;=C82,(IF(((Q82-(K82+(J81 * -1)+1))&lt;=0),1,((SUM(J$25:$J82)-(SUM($O$24:$O$26)))))),"-")</f>
        <v>-</v>
      </c>
      <c r="O82" s="45" t="str">
        <f>IF($E$7&gt;=C82,(IF((N82&lt;=0),1,((SUM($J$25:J82)-(SUM($O$24:O81)))))),"-")</f>
        <v>-</v>
      </c>
      <c r="P82" s="42" t="str">
        <f t="shared" si="3"/>
        <v>-</v>
      </c>
      <c r="Q82" s="46" t="str">
        <f t="shared" si="10"/>
        <v>-</v>
      </c>
      <c r="R82" s="47"/>
      <c r="S82" s="46" t="str">
        <f t="shared" si="11"/>
        <v>-</v>
      </c>
      <c r="T82" s="47"/>
      <c r="U82" s="47" t="str">
        <f t="shared" si="12"/>
        <v>-</v>
      </c>
      <c r="V82" s="47"/>
      <c r="W82" s="47"/>
      <c r="X82" s="47"/>
      <c r="Y82" s="47"/>
      <c r="Z82" s="47"/>
      <c r="AA82" s="31">
        <v>58</v>
      </c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BA82" s="27" t="str">
        <f t="shared" si="13"/>
        <v>-</v>
      </c>
      <c r="BC82" s="26" t="str">
        <f t="shared" ca="1" si="14"/>
        <v>2030</v>
      </c>
      <c r="BD82" s="26" t="str">
        <f t="shared" ca="1" si="15"/>
        <v>06</v>
      </c>
      <c r="BE82" s="26">
        <f t="shared" ca="1" si="16"/>
        <v>16</v>
      </c>
      <c r="BF82" s="27" t="str">
        <f t="shared" ca="1" si="17"/>
        <v>domingo</v>
      </c>
      <c r="BG82" s="27">
        <f t="shared" ca="1" si="18"/>
        <v>47650</v>
      </c>
      <c r="BK82" s="26" t="str">
        <f t="shared" ca="1" si="20"/>
        <v>2030</v>
      </c>
      <c r="BL82" s="26" t="str">
        <f t="shared" ca="1" si="23"/>
        <v>07</v>
      </c>
      <c r="BM82" s="26">
        <f t="shared" ca="1" si="22"/>
        <v>1</v>
      </c>
      <c r="BN82" s="26" t="str">
        <f t="shared" ca="1" si="19"/>
        <v>lunes</v>
      </c>
      <c r="BO82" s="27" t="str">
        <f t="shared" si="4"/>
        <v>-</v>
      </c>
    </row>
    <row r="83" spans="3:67" s="26" customFormat="1" ht="12">
      <c r="C83" s="50">
        <v>59</v>
      </c>
      <c r="D83" s="39" t="str">
        <f t="shared" si="5"/>
        <v>-</v>
      </c>
      <c r="E83" s="81" t="str">
        <f>IF($E$20="No",IF(BF83="sábado",IF($E$7&gt;=C83,BG83+$Q$19,"-"),IF($E$7&gt;=C83,D83+$Q$19,"-")),BO83)</f>
        <v>-</v>
      </c>
      <c r="F83" s="78" t="str">
        <f t="shared" si="6"/>
        <v>-</v>
      </c>
      <c r="G83" s="51" t="str">
        <f t="shared" si="7"/>
        <v>-</v>
      </c>
      <c r="H83" s="41" t="str">
        <f t="shared" si="8"/>
        <v>-</v>
      </c>
      <c r="I83" s="42" t="str">
        <f t="shared" si="9"/>
        <v>-</v>
      </c>
      <c r="J83" s="42" t="str">
        <f t="shared" si="0"/>
        <v>-</v>
      </c>
      <c r="K83" s="42" t="str">
        <f t="shared" si="1"/>
        <v>-</v>
      </c>
      <c r="L83" s="42" t="str">
        <f>IF($E$7&gt;C83,ROUND($E$6/$H$97,2),IF($E$7=C83,J83+K83,"-"))</f>
        <v>-</v>
      </c>
      <c r="M83" s="52" t="str">
        <f t="shared" si="2"/>
        <v>-</v>
      </c>
      <c r="N83" s="48" t="str">
        <f>IF($E$7&gt;=C83,(IF(((Q83-(K83+(J82 * -1)+1))&lt;=0),1,((SUM(J$25:$J83)-(SUM($O$24:$O$26)))))),"-")</f>
        <v>-</v>
      </c>
      <c r="O83" s="45" t="str">
        <f>IF($E$7&gt;=C83,(IF((N83&lt;=0),1,((SUM($J$25:J83)-(SUM($O$24:O82)))))),"-")</f>
        <v>-</v>
      </c>
      <c r="P83" s="42" t="str">
        <f t="shared" si="3"/>
        <v>-</v>
      </c>
      <c r="Q83" s="46" t="str">
        <f t="shared" si="10"/>
        <v>-</v>
      </c>
      <c r="R83" s="47"/>
      <c r="S83" s="46" t="str">
        <f t="shared" si="11"/>
        <v>-</v>
      </c>
      <c r="T83" s="47"/>
      <c r="U83" s="47" t="str">
        <f t="shared" si="12"/>
        <v>-</v>
      </c>
      <c r="V83" s="47"/>
      <c r="W83" s="47"/>
      <c r="X83" s="47"/>
      <c r="Y83" s="47"/>
      <c r="Z83" s="47"/>
      <c r="AA83" s="31">
        <v>59</v>
      </c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BA83" s="27" t="str">
        <f t="shared" si="13"/>
        <v>-</v>
      </c>
      <c r="BC83" s="26" t="str">
        <f t="shared" ca="1" si="14"/>
        <v>2030</v>
      </c>
      <c r="BD83" s="26" t="str">
        <f t="shared" ca="1" si="15"/>
        <v>07</v>
      </c>
      <c r="BE83" s="26">
        <f t="shared" ca="1" si="16"/>
        <v>16</v>
      </c>
      <c r="BF83" s="27" t="str">
        <f t="shared" ca="1" si="17"/>
        <v>martes</v>
      </c>
      <c r="BG83" s="27">
        <f t="shared" ca="1" si="18"/>
        <v>47680</v>
      </c>
      <c r="BK83" s="26" t="str">
        <f t="shared" ca="1" si="20"/>
        <v>2030</v>
      </c>
      <c r="BL83" s="26" t="str">
        <f t="shared" ca="1" si="23"/>
        <v>08</v>
      </c>
      <c r="BM83" s="26">
        <f t="shared" ca="1" si="22"/>
        <v>1</v>
      </c>
      <c r="BN83" s="26" t="str">
        <f t="shared" ca="1" si="19"/>
        <v>jueves</v>
      </c>
      <c r="BO83" s="27" t="str">
        <f t="shared" si="4"/>
        <v>-</v>
      </c>
    </row>
    <row r="84" spans="3:67" s="26" customFormat="1" ht="12.75" thickBot="1">
      <c r="C84" s="82">
        <v>60</v>
      </c>
      <c r="D84" s="83" t="str">
        <f t="shared" si="5"/>
        <v>-</v>
      </c>
      <c r="E84" s="84" t="str">
        <f>IF($E$20="No",IF(BF84="sábado",IF($E$7&gt;=C84,BG84+$Q$19,"-"),IF($E$7&gt;=C84,D84+$Q$19,"-")),BO84)</f>
        <v>-</v>
      </c>
      <c r="F84" s="77" t="str">
        <f t="shared" si="6"/>
        <v>-</v>
      </c>
      <c r="G84" s="40" t="str">
        <f t="shared" si="7"/>
        <v>-</v>
      </c>
      <c r="H84" s="41" t="str">
        <f t="shared" si="8"/>
        <v>-</v>
      </c>
      <c r="I84" s="42" t="str">
        <f t="shared" si="9"/>
        <v>-</v>
      </c>
      <c r="J84" s="42" t="str">
        <f t="shared" si="0"/>
        <v>-</v>
      </c>
      <c r="K84" s="42" t="str">
        <f t="shared" si="1"/>
        <v>-</v>
      </c>
      <c r="L84" s="42" t="str">
        <f>IF($E$7&gt;C84,ROUND($E$6/$H$97,2),IF($E$7=C84,J84+K84,"-"))</f>
        <v>-</v>
      </c>
      <c r="M84" s="43" t="str">
        <f t="shared" si="2"/>
        <v>-</v>
      </c>
      <c r="N84" s="48" t="str">
        <f>IF($E$7&gt;=C84,(IF(((Q84-(K84+(J83 * -1)+1))&lt;=0),1,((SUM(J$25:$J84)-(SUM($O$24:$O$26)))))),"-")</f>
        <v>-</v>
      </c>
      <c r="O84" s="45" t="str">
        <f>IF($E$7&gt;=C84,(IF((N84&lt;=0),1,((SUM($J$25:J84)-(SUM($O$24:O83)))))),"-")</f>
        <v>-</v>
      </c>
      <c r="P84" s="42" t="str">
        <f t="shared" si="3"/>
        <v>-</v>
      </c>
      <c r="Q84" s="46" t="str">
        <f t="shared" si="10"/>
        <v>-</v>
      </c>
      <c r="R84" s="47"/>
      <c r="S84" s="46" t="str">
        <f t="shared" si="11"/>
        <v>-</v>
      </c>
      <c r="T84" s="47"/>
      <c r="U84" s="47" t="str">
        <f t="shared" si="12"/>
        <v>-</v>
      </c>
      <c r="V84" s="47"/>
      <c r="W84" s="47"/>
      <c r="X84" s="47"/>
      <c r="Y84" s="47"/>
      <c r="Z84" s="47"/>
      <c r="AA84" s="31">
        <v>60</v>
      </c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BA84" s="27" t="str">
        <f t="shared" si="13"/>
        <v>-</v>
      </c>
      <c r="BC84" s="26" t="str">
        <f t="shared" ca="1" si="14"/>
        <v>2030</v>
      </c>
      <c r="BD84" s="26" t="str">
        <f t="shared" ca="1" si="15"/>
        <v>08</v>
      </c>
      <c r="BE84" s="26">
        <f t="shared" ca="1" si="16"/>
        <v>16</v>
      </c>
      <c r="BF84" s="27" t="str">
        <f t="shared" ca="1" si="17"/>
        <v>viernes</v>
      </c>
      <c r="BG84" s="27">
        <f t="shared" ca="1" si="18"/>
        <v>47711</v>
      </c>
      <c r="BK84" s="26" t="str">
        <f t="shared" ca="1" si="20"/>
        <v>2030</v>
      </c>
      <c r="BL84" s="26" t="str">
        <f t="shared" ca="1" si="23"/>
        <v>09</v>
      </c>
      <c r="BM84" s="26">
        <f t="shared" ca="1" si="22"/>
        <v>1</v>
      </c>
      <c r="BN84" s="26" t="str">
        <f t="shared" ca="1" si="19"/>
        <v>domingo</v>
      </c>
      <c r="BO84" s="27" t="str">
        <f t="shared" si="4"/>
        <v>-</v>
      </c>
    </row>
    <row r="85" spans="3:67" s="26" customFormat="1" ht="12" hidden="1">
      <c r="C85" s="79">
        <v>61</v>
      </c>
      <c r="D85" s="80" t="str">
        <f t="shared" si="5"/>
        <v>-</v>
      </c>
      <c r="E85" s="80" t="str">
        <f>IF($E$20="No",IF(BF85="sábado",IF($E$7&gt;=C85,BG85+$Q$19,"-"),IF($E$7&gt;=C85,D85+$Q$19,"-")),BO85)</f>
        <v>-</v>
      </c>
      <c r="F85" s="40" t="str">
        <f t="shared" si="6"/>
        <v>-</v>
      </c>
      <c r="G85" s="40" t="str">
        <f t="shared" si="7"/>
        <v>-</v>
      </c>
      <c r="H85" s="41" t="str">
        <f t="shared" si="8"/>
        <v>-</v>
      </c>
      <c r="I85" s="42" t="str">
        <f t="shared" si="9"/>
        <v>-</v>
      </c>
      <c r="J85" s="42" t="str">
        <f t="shared" si="0"/>
        <v>-</v>
      </c>
      <c r="K85" s="42" t="str">
        <f t="shared" si="1"/>
        <v>-</v>
      </c>
      <c r="L85" s="42" t="str">
        <f>IF($E$7&gt;C85,ROUND($E$6/$H$97,2),IF($E$7=C85,J85+K85,"-"))</f>
        <v>-</v>
      </c>
      <c r="M85" s="43" t="str">
        <f t="shared" si="2"/>
        <v>-</v>
      </c>
      <c r="N85" s="48" t="str">
        <f>IF($E$7&gt;=C85,(IF(((Q85-(K85+(J84 * -1)+1))&lt;=0),1,((SUM(J$25:$J85)-(SUM($O$24:$O$26)))))),"-")</f>
        <v>-</v>
      </c>
      <c r="O85" s="45" t="str">
        <f>IF($E$7&gt;=C85,(IF((N85&lt;=0),1,((SUM($J$25:J85)-(SUM($O$24:O84)))))),"-")</f>
        <v>-</v>
      </c>
      <c r="P85" s="42" t="str">
        <f t="shared" si="3"/>
        <v>-</v>
      </c>
      <c r="Q85" s="46" t="str">
        <f t="shared" si="10"/>
        <v>-</v>
      </c>
      <c r="R85" s="47"/>
      <c r="S85" s="47"/>
      <c r="T85" s="47"/>
      <c r="U85" s="47" t="e">
        <f t="shared" ref="U85:U96" si="24">+Q85+S85</f>
        <v>#VALUE!</v>
      </c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BA85" s="27" t="str">
        <f t="shared" si="13"/>
        <v>-</v>
      </c>
      <c r="BB85" s="26" t="str">
        <f t="shared" ref="BB85:BB96" si="25">TEXT(BA85,"AAAA/MM/DD")</f>
        <v>-</v>
      </c>
      <c r="BC85" s="26" t="str">
        <f t="shared" ca="1" si="14"/>
        <v>2030</v>
      </c>
      <c r="BD85" s="26" t="str">
        <f t="shared" ca="1" si="15"/>
        <v>09</v>
      </c>
      <c r="BE85" s="26">
        <f t="shared" ca="1" si="16"/>
        <v>16</v>
      </c>
      <c r="BF85" s="27" t="str">
        <f t="shared" ca="1" si="17"/>
        <v>lunes</v>
      </c>
      <c r="BG85" s="27">
        <f t="shared" ca="1" si="18"/>
        <v>47742</v>
      </c>
      <c r="BK85" s="26" t="str">
        <f t="shared" ca="1" si="20"/>
        <v>2030</v>
      </c>
      <c r="BL85" s="26" t="str">
        <f t="shared" ca="1" si="23"/>
        <v>10</v>
      </c>
      <c r="BM85" s="26">
        <f t="shared" ca="1" si="22"/>
        <v>1</v>
      </c>
      <c r="BN85" s="26" t="str">
        <f t="shared" ca="1" si="19"/>
        <v>martes</v>
      </c>
      <c r="BO85" s="27" t="str">
        <f t="shared" si="4"/>
        <v>-</v>
      </c>
    </row>
    <row r="86" spans="3:67" s="26" customFormat="1" ht="12" hidden="1">
      <c r="C86" s="53">
        <v>62</v>
      </c>
      <c r="D86" s="39" t="str">
        <f t="shared" si="5"/>
        <v>-</v>
      </c>
      <c r="E86" s="39" t="str">
        <f>IF($E$20="No",IF(BF86="sábado",IF($E$7&gt;=C86,BG86+$Q$19,"-"),IF($E$7&gt;=C86,D86+$Q$19,"-")),BO86)</f>
        <v>-</v>
      </c>
      <c r="F86" s="40" t="str">
        <f t="shared" si="6"/>
        <v>-</v>
      </c>
      <c r="G86" s="40" t="str">
        <f t="shared" si="7"/>
        <v>-</v>
      </c>
      <c r="H86" s="41" t="str">
        <f t="shared" si="8"/>
        <v>-</v>
      </c>
      <c r="I86" s="42" t="str">
        <f t="shared" si="9"/>
        <v>-</v>
      </c>
      <c r="J86" s="42" t="str">
        <f t="shared" si="0"/>
        <v>-</v>
      </c>
      <c r="K86" s="42" t="str">
        <f t="shared" si="1"/>
        <v>-</v>
      </c>
      <c r="L86" s="42" t="str">
        <f>IF($E$7&gt;C86,ROUND($E$6/$H$97,2),IF($E$7=C86,J86+K86,"-"))</f>
        <v>-</v>
      </c>
      <c r="M86" s="43" t="str">
        <f t="shared" si="2"/>
        <v>-</v>
      </c>
      <c r="N86" s="48" t="str">
        <f>IF($E$7&gt;=C86,(IF(((Q86-(K86+(J85 * -1)+1))&lt;=0),1,((SUM(J$25:$J86)-(SUM($O$24:$O$26)))))),"-")</f>
        <v>-</v>
      </c>
      <c r="O86" s="45" t="str">
        <f>IF($E$7&gt;=C86,(IF((N86&lt;=0),1,((SUM($J$25:J86)-(SUM($O$24:O85)))))),"-")</f>
        <v>-</v>
      </c>
      <c r="P86" s="42" t="str">
        <f t="shared" si="3"/>
        <v>-</v>
      </c>
      <c r="Q86" s="46" t="str">
        <f t="shared" si="10"/>
        <v>-</v>
      </c>
      <c r="R86" s="47"/>
      <c r="S86" s="47"/>
      <c r="T86" s="47"/>
      <c r="U86" s="47" t="e">
        <f t="shared" si="24"/>
        <v>#VALUE!</v>
      </c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BA86" s="27" t="str">
        <f t="shared" si="13"/>
        <v>-</v>
      </c>
      <c r="BB86" s="26" t="str">
        <f t="shared" si="25"/>
        <v>-</v>
      </c>
      <c r="BC86" s="26" t="str">
        <f t="shared" ca="1" si="14"/>
        <v>2030</v>
      </c>
      <c r="BD86" s="26" t="str">
        <f t="shared" ca="1" si="15"/>
        <v>10</v>
      </c>
      <c r="BE86" s="26">
        <f t="shared" ca="1" si="16"/>
        <v>16</v>
      </c>
      <c r="BF86" s="27" t="str">
        <f t="shared" ca="1" si="17"/>
        <v>miércoles</v>
      </c>
      <c r="BG86" s="27">
        <f t="shared" ca="1" si="18"/>
        <v>47772</v>
      </c>
      <c r="BK86" s="26" t="str">
        <f t="shared" ca="1" si="20"/>
        <v>2030</v>
      </c>
      <c r="BL86" s="26" t="str">
        <f t="shared" ca="1" si="23"/>
        <v>11</v>
      </c>
      <c r="BM86" s="26">
        <f t="shared" ca="1" si="22"/>
        <v>1</v>
      </c>
      <c r="BN86" s="26" t="str">
        <f t="shared" ca="1" si="19"/>
        <v>viernes</v>
      </c>
      <c r="BO86" s="27" t="str">
        <f t="shared" si="4"/>
        <v>-</v>
      </c>
    </row>
    <row r="87" spans="3:67" s="26" customFormat="1" ht="12" hidden="1">
      <c r="C87" s="53">
        <v>63</v>
      </c>
      <c r="D87" s="39" t="str">
        <f t="shared" si="5"/>
        <v>-</v>
      </c>
      <c r="E87" s="39" t="str">
        <f>IF($E$20="No",IF(BF87="sábado",IF($E$7&gt;=C87,BG87+$Q$19,"-"),IF($E$7&gt;=C87,D87+$Q$19,"-")),BO87)</f>
        <v>-</v>
      </c>
      <c r="F87" s="40" t="str">
        <f t="shared" si="6"/>
        <v>-</v>
      </c>
      <c r="G87" s="40" t="str">
        <f t="shared" si="7"/>
        <v>-</v>
      </c>
      <c r="H87" s="41" t="str">
        <f t="shared" si="8"/>
        <v>-</v>
      </c>
      <c r="I87" s="42" t="str">
        <f t="shared" si="9"/>
        <v>-</v>
      </c>
      <c r="J87" s="42" t="str">
        <f t="shared" si="0"/>
        <v>-</v>
      </c>
      <c r="K87" s="42" t="str">
        <f t="shared" si="1"/>
        <v>-</v>
      </c>
      <c r="L87" s="42" t="str">
        <f>IF($E$7&gt;C87,ROUND($E$6/$H$97,2),IF($E$7=C87,J87+K87,"-"))</f>
        <v>-</v>
      </c>
      <c r="M87" s="43" t="str">
        <f t="shared" si="2"/>
        <v>-</v>
      </c>
      <c r="N87" s="48" t="str">
        <f>IF($E$7&gt;=C87,(IF(((Q87-(K87+(J86 * -1)+1))&lt;=0),1,((SUM(J$25:$J87)-(SUM($O$24:$O$26)))))),"-")</f>
        <v>-</v>
      </c>
      <c r="O87" s="45" t="str">
        <f>IF($E$7&gt;=C87,(IF((N87&lt;=0),1,((SUM($J$25:J87)-(SUM($O$24:O86)))))),"-")</f>
        <v>-</v>
      </c>
      <c r="P87" s="42" t="str">
        <f t="shared" si="3"/>
        <v>-</v>
      </c>
      <c r="Q87" s="46" t="str">
        <f t="shared" si="10"/>
        <v>-</v>
      </c>
      <c r="R87" s="47"/>
      <c r="S87" s="47"/>
      <c r="T87" s="47"/>
      <c r="U87" s="47" t="e">
        <f t="shared" si="24"/>
        <v>#VALUE!</v>
      </c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BA87" s="27" t="str">
        <f t="shared" si="13"/>
        <v>-</v>
      </c>
      <c r="BB87" s="26" t="str">
        <f t="shared" si="25"/>
        <v>-</v>
      </c>
      <c r="BC87" s="26" t="str">
        <f t="shared" ca="1" si="14"/>
        <v>2030</v>
      </c>
      <c r="BD87" s="26" t="str">
        <f t="shared" ca="1" si="15"/>
        <v>11</v>
      </c>
      <c r="BE87" s="26">
        <f t="shared" ca="1" si="16"/>
        <v>16</v>
      </c>
      <c r="BF87" s="27" t="str">
        <f t="shared" ca="1" si="17"/>
        <v>sábado</v>
      </c>
      <c r="BG87" s="27">
        <f t="shared" ca="1" si="18"/>
        <v>47803</v>
      </c>
      <c r="BK87" s="26" t="str">
        <f t="shared" ca="1" si="20"/>
        <v>2030</v>
      </c>
      <c r="BL87" s="26" t="str">
        <f t="shared" ca="1" si="23"/>
        <v>12</v>
      </c>
      <c r="BM87" s="26">
        <f t="shared" ca="1" si="22"/>
        <v>1</v>
      </c>
      <c r="BN87" s="26" t="str">
        <f t="shared" ca="1" si="19"/>
        <v>domingo</v>
      </c>
      <c r="BO87" s="27" t="str">
        <f t="shared" si="4"/>
        <v>-</v>
      </c>
    </row>
    <row r="88" spans="3:67" s="26" customFormat="1" ht="12" hidden="1">
      <c r="C88" s="53">
        <v>64</v>
      </c>
      <c r="D88" s="39" t="str">
        <f t="shared" si="5"/>
        <v>-</v>
      </c>
      <c r="E88" s="39" t="str">
        <f>IF($E$20="No",IF(BF88="sábado",IF($E$7&gt;=C88,BG88+$Q$19,"-"),IF($E$7&gt;=C88,D88+$Q$19,"-")),BO88)</f>
        <v>-</v>
      </c>
      <c r="F88" s="40" t="str">
        <f t="shared" si="6"/>
        <v>-</v>
      </c>
      <c r="G88" s="40" t="str">
        <f t="shared" si="7"/>
        <v>-</v>
      </c>
      <c r="H88" s="41" t="str">
        <f t="shared" si="8"/>
        <v>-</v>
      </c>
      <c r="I88" s="42" t="str">
        <f t="shared" si="9"/>
        <v>-</v>
      </c>
      <c r="J88" s="42" t="str">
        <f t="shared" si="0"/>
        <v>-</v>
      </c>
      <c r="K88" s="42" t="str">
        <f t="shared" si="1"/>
        <v>-</v>
      </c>
      <c r="L88" s="42" t="str">
        <f>IF($E$7&gt;C88,ROUND($E$6/$H$97,2),IF($E$7=C88,J88+K88,"-"))</f>
        <v>-</v>
      </c>
      <c r="M88" s="43" t="str">
        <f t="shared" si="2"/>
        <v>-</v>
      </c>
      <c r="N88" s="48" t="str">
        <f>IF($E$7&gt;=C88,(IF(((Q88-(K88+(J87 * -1)+1))&lt;=0),1,((SUM(J$25:$J88)-(SUM($O$24:$O$26)))))),"-")</f>
        <v>-</v>
      </c>
      <c r="O88" s="45" t="str">
        <f>IF($E$7&gt;=C88,(IF((N88&lt;=0),1,((SUM($J$25:J88)-(SUM($O$24:O87)))))),"-")</f>
        <v>-</v>
      </c>
      <c r="P88" s="42" t="str">
        <f t="shared" si="3"/>
        <v>-</v>
      </c>
      <c r="Q88" s="46" t="str">
        <f t="shared" si="10"/>
        <v>-</v>
      </c>
      <c r="R88" s="47"/>
      <c r="S88" s="47"/>
      <c r="T88" s="47"/>
      <c r="U88" s="47" t="e">
        <f t="shared" si="24"/>
        <v>#VALUE!</v>
      </c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BA88" s="27" t="str">
        <f t="shared" si="13"/>
        <v>-</v>
      </c>
      <c r="BB88" s="26" t="str">
        <f t="shared" si="25"/>
        <v>-</v>
      </c>
      <c r="BC88" s="26" t="str">
        <f t="shared" ca="1" si="14"/>
        <v>2030</v>
      </c>
      <c r="BD88" s="26" t="str">
        <f t="shared" ca="1" si="15"/>
        <v>12</v>
      </c>
      <c r="BE88" s="26">
        <f t="shared" ca="1" si="16"/>
        <v>16</v>
      </c>
      <c r="BF88" s="27" t="str">
        <f t="shared" ca="1" si="17"/>
        <v>lunes</v>
      </c>
      <c r="BG88" s="27">
        <f t="shared" ca="1" si="18"/>
        <v>47833</v>
      </c>
      <c r="BK88" s="26" t="str">
        <f t="shared" ca="1" si="20"/>
        <v>2031</v>
      </c>
      <c r="BL88" s="26" t="str">
        <f t="shared" ca="1" si="23"/>
        <v>01</v>
      </c>
      <c r="BM88" s="26">
        <f t="shared" ca="1" si="22"/>
        <v>1</v>
      </c>
      <c r="BN88" s="26" t="str">
        <f t="shared" ca="1" si="19"/>
        <v>miércoles</v>
      </c>
      <c r="BO88" s="27" t="str">
        <f t="shared" si="4"/>
        <v>-</v>
      </c>
    </row>
    <row r="89" spans="3:67" s="26" customFormat="1" ht="12" hidden="1">
      <c r="C89" s="53">
        <v>65</v>
      </c>
      <c r="D89" s="39" t="str">
        <f t="shared" si="5"/>
        <v>-</v>
      </c>
      <c r="E89" s="39" t="str">
        <f>IF($E$20="No",IF(BF89="sábado",IF($E$7&gt;=C89,BG89+$Q$19,"-"),IF($E$7&gt;=C89,D89+$Q$19,"-")),BO89)</f>
        <v>-</v>
      </c>
      <c r="F89" s="40" t="str">
        <f t="shared" si="6"/>
        <v>-</v>
      </c>
      <c r="G89" s="40" t="str">
        <f t="shared" si="7"/>
        <v>-</v>
      </c>
      <c r="H89" s="41" t="str">
        <f t="shared" si="8"/>
        <v>-</v>
      </c>
      <c r="I89" s="42" t="str">
        <f t="shared" si="9"/>
        <v>-</v>
      </c>
      <c r="J89" s="42" t="str">
        <f t="shared" ref="J89:J96" si="26">IF($E$7=C89,I89,IF($E$7&gt;=C89,L89-K89,"-"))</f>
        <v>-</v>
      </c>
      <c r="K89" s="42" t="str">
        <f t="shared" ref="K89:K96" si="27">IF($E$7=C89,ROUND(I89*((1+$E$8)^(F89/360)-1),2),IF($E$7&gt;=C89,ROUND(I89*((1+$E$8)^(F89/360)-1),2),"-"))</f>
        <v>-</v>
      </c>
      <c r="L89" s="42" t="str">
        <f>IF($E$7&gt;C89,ROUND($E$6/$H$97,2),IF($E$7=C89,J89+K89,"-"))</f>
        <v>-</v>
      </c>
      <c r="M89" s="43" t="str">
        <f t="shared" ref="M89:M96" si="28">IF($E$7&gt;=C89,I89-J89,"-")</f>
        <v>-</v>
      </c>
      <c r="N89" s="48" t="str">
        <f>IF($E$7&gt;=C89,(IF(((Q89-(K89+(J88 * -1)+1))&lt;=0),1,((SUM(J$25:$J89)-(SUM($O$24:$O$26)))))),"-")</f>
        <v>-</v>
      </c>
      <c r="O89" s="45" t="str">
        <f>IF($E$7&gt;=C89,(IF((N89&lt;=0),1,((SUM($J$25:J89)-(SUM($O$24:O88)))))),"-")</f>
        <v>-</v>
      </c>
      <c r="P89" s="42" t="str">
        <f t="shared" ref="P89:P96" si="29">IF($E$7&gt;=C89,(Q89-O89),"-")</f>
        <v>-</v>
      </c>
      <c r="Q89" s="46" t="str">
        <f t="shared" si="10"/>
        <v>-</v>
      </c>
      <c r="R89" s="47"/>
      <c r="S89" s="47"/>
      <c r="T89" s="47"/>
      <c r="U89" s="47" t="e">
        <f t="shared" si="24"/>
        <v>#VALUE!</v>
      </c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BA89" s="27" t="str">
        <f t="shared" si="13"/>
        <v>-</v>
      </c>
      <c r="BB89" s="26" t="str">
        <f t="shared" si="25"/>
        <v>-</v>
      </c>
      <c r="BC89" s="26" t="str">
        <f t="shared" ca="1" si="14"/>
        <v>2031</v>
      </c>
      <c r="BD89" s="26" t="str">
        <f t="shared" ca="1" si="15"/>
        <v>01</v>
      </c>
      <c r="BE89" s="26">
        <f t="shared" ca="1" si="16"/>
        <v>16</v>
      </c>
      <c r="BF89" s="27" t="str">
        <f t="shared" ca="1" si="17"/>
        <v>jueves</v>
      </c>
      <c r="BG89" s="27">
        <f t="shared" ca="1" si="18"/>
        <v>47864</v>
      </c>
      <c r="BK89" s="26" t="str">
        <f t="shared" ca="1" si="20"/>
        <v>2031</v>
      </c>
      <c r="BL89" s="26" t="str">
        <f t="shared" ca="1" si="23"/>
        <v>02</v>
      </c>
      <c r="BM89" s="26">
        <f t="shared" ca="1" si="22"/>
        <v>1</v>
      </c>
      <c r="BN89" s="26" t="str">
        <f t="shared" ca="1" si="19"/>
        <v>sábado</v>
      </c>
      <c r="BO89" s="27" t="str">
        <f t="shared" ref="BO89:BO96" si="30">IF(C89&lt;=$E$7,VALUE(CONCATENATE(BM89,"/",BL89,"/",BK89)),"-")</f>
        <v>-</v>
      </c>
    </row>
    <row r="90" spans="3:67" s="26" customFormat="1" ht="12" hidden="1">
      <c r="C90" s="53">
        <v>66</v>
      </c>
      <c r="D90" s="39" t="str">
        <f t="shared" ref="D90:D96" si="31">IF(TEXT(IF($E$7&gt;=C90,VALUE(CONCATENATE(BE90,"/",BD90,"/",BC90)),"-"),"dddd")="sábado",IF($E$7&gt;=C90,VALUE(CONCATENATE(BE90,"/",BD90,"/",BC90)),"-")-1,IF($E$7&gt;=C90,VALUE(CONCATENATE(BE90,"/",BD90,"/",BC90)),"-"))</f>
        <v>-</v>
      </c>
      <c r="E90" s="39" t="str">
        <f>IF($E$20="No",IF(BF90="sábado",IF($E$7&gt;=C90,BG90+$Q$19,"-"),IF($E$7&gt;=C90,D90+$Q$19,"-")),BO90)</f>
        <v>-</v>
      </c>
      <c r="F90" s="40" t="str">
        <f t="shared" ref="F90:F96" si="32">IF($E$7&gt;=C90,E90-E89,"-")</f>
        <v>-</v>
      </c>
      <c r="G90" s="40" t="str">
        <f t="shared" ref="G90:G96" si="33">IF($E$7&gt;=C90,G89+F90,"-")</f>
        <v>-</v>
      </c>
      <c r="H90" s="41" t="str">
        <f t="shared" ref="H90:H97" si="34">IF($E$7&gt;=C90,ROUND(1/((1+$E$8)^(G90/360)),9),"-")</f>
        <v>-</v>
      </c>
      <c r="I90" s="42" t="str">
        <f t="shared" ref="I90:I96" si="35">IF($E$7&gt;=C90,M89,"-")</f>
        <v>-</v>
      </c>
      <c r="J90" s="42" t="str">
        <f t="shared" si="26"/>
        <v>-</v>
      </c>
      <c r="K90" s="42" t="str">
        <f t="shared" si="27"/>
        <v>-</v>
      </c>
      <c r="L90" s="42" t="str">
        <f>IF($E$7&gt;C90,ROUND($E$6/$H$97,2),IF($E$7=C90,J90+K90,"-"))</f>
        <v>-</v>
      </c>
      <c r="M90" s="43" t="str">
        <f t="shared" si="28"/>
        <v>-</v>
      </c>
      <c r="N90" s="48" t="str">
        <f>IF($E$7&gt;=C90,(IF(((Q90-(K90+(J89 * -1)+1))&lt;=0),1,((SUM(J$25:$J90)-(SUM($O$24:$O$26)))))),"-")</f>
        <v>-</v>
      </c>
      <c r="O90" s="45" t="str">
        <f>IF($E$7&gt;=C90,(IF((N90&lt;=0),1,((SUM($J$25:J90)-(SUM($O$24:O89)))))),"-")</f>
        <v>-</v>
      </c>
      <c r="P90" s="42" t="str">
        <f t="shared" si="29"/>
        <v>-</v>
      </c>
      <c r="Q90" s="46" t="str">
        <f t="shared" ref="Q90:Q97" si="36">IF($E$7&gt;=C90,(VALUE(L90)),"-")</f>
        <v>-</v>
      </c>
      <c r="R90" s="47"/>
      <c r="S90" s="47"/>
      <c r="T90" s="47"/>
      <c r="U90" s="47" t="e">
        <f t="shared" si="24"/>
        <v>#VALUE!</v>
      </c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BA90" s="27" t="str">
        <f t="shared" ref="BA90:BA96" si="37">IF(TEXT(IF($E$7&gt;=C90,VALUE(CONCATENATE(BE90,"/",BD90,"/",BC90)),"-"),"dddd")="sábado",IF($E$7&gt;=C90,VALUE(CONCATENATE(BE90,"/",BD90,"/",BC90)),"-")-1,IF($E$7&gt;=C90,VALUE(CONCATENATE(BE90,"/",BD90,"/",BC90)),"-"))</f>
        <v>-</v>
      </c>
      <c r="BB90" s="26" t="str">
        <f t="shared" si="25"/>
        <v>-</v>
      </c>
      <c r="BC90" s="26" t="str">
        <f t="shared" ref="BC90:BC96" ca="1" si="38">IF(VALUE(BD89)=12,TEXT(VALUE(BC89)+1,"0000"),BC89)</f>
        <v>2031</v>
      </c>
      <c r="BD90" s="26" t="str">
        <f t="shared" ref="BD90:BD96" ca="1" si="39">IF(VALUE(BD89)=12,"01",TEXT(VALUE(BD89)+1,"00"))</f>
        <v>02</v>
      </c>
      <c r="BE90" s="26">
        <f t="shared" ref="BE90:BE96" ca="1" si="40">BE89</f>
        <v>16</v>
      </c>
      <c r="BF90" s="27" t="str">
        <f t="shared" ref="BF90:BF101" ca="1" si="41">TEXT(VALUE(CONCATENATE(BE90,"/",BD90,"/",BC90)),"dddd")</f>
        <v>domingo</v>
      </c>
      <c r="BG90" s="27">
        <f t="shared" ref="BG90:BG101" ca="1" si="42">+VALUE(CONCATENATE(BE90,"/",BD90,"/",BC90))</f>
        <v>47895</v>
      </c>
      <c r="BK90" s="26" t="str">
        <f t="shared" ca="1" si="20"/>
        <v>2031</v>
      </c>
      <c r="BL90" s="26" t="str">
        <f t="shared" ca="1" si="23"/>
        <v>03</v>
      </c>
      <c r="BM90" s="26">
        <f t="shared" ca="1" si="22"/>
        <v>1</v>
      </c>
      <c r="BN90" s="26" t="str">
        <f t="shared" ref="BN90:BN96" ca="1" si="43">TEXT(VALUE(CONCATENATE(BK90,"/",BL90,"/",BM90)),"dddd")</f>
        <v>sábado</v>
      </c>
      <c r="BO90" s="27" t="str">
        <f t="shared" si="30"/>
        <v>-</v>
      </c>
    </row>
    <row r="91" spans="3:67" s="26" customFormat="1" ht="12" hidden="1">
      <c r="C91" s="53">
        <v>67</v>
      </c>
      <c r="D91" s="39" t="str">
        <f t="shared" si="31"/>
        <v>-</v>
      </c>
      <c r="E91" s="39" t="str">
        <f>IF($E$20="No",IF(BF91="sábado",IF($E$7&gt;=C91,BG91+$Q$19,"-"),IF($E$7&gt;=C91,D91+$Q$19,"-")),BO91)</f>
        <v>-</v>
      </c>
      <c r="F91" s="40" t="str">
        <f t="shared" si="32"/>
        <v>-</v>
      </c>
      <c r="G91" s="40" t="str">
        <f t="shared" si="33"/>
        <v>-</v>
      </c>
      <c r="H91" s="41" t="str">
        <f t="shared" si="34"/>
        <v>-</v>
      </c>
      <c r="I91" s="42" t="str">
        <f t="shared" si="35"/>
        <v>-</v>
      </c>
      <c r="J91" s="42" t="str">
        <f t="shared" si="26"/>
        <v>-</v>
      </c>
      <c r="K91" s="42" t="str">
        <f t="shared" si="27"/>
        <v>-</v>
      </c>
      <c r="L91" s="42" t="str">
        <f>IF($E$7&gt;C91,ROUND($E$6/$H$97,2),IF($E$7=C91,J91+K91,"-"))</f>
        <v>-</v>
      </c>
      <c r="M91" s="43" t="str">
        <f t="shared" si="28"/>
        <v>-</v>
      </c>
      <c r="N91" s="48" t="str">
        <f>IF($E$7&gt;=C91,(IF(((Q91-(K91+(J90 * -1)+1))&lt;=0),1,((SUM(J$25:$J91)-(SUM($O$24:$O$26)))))),"-")</f>
        <v>-</v>
      </c>
      <c r="O91" s="45" t="str">
        <f>IF($E$7&gt;=C91,(IF((N91&lt;=0),1,((SUM($J$25:J91)-(SUM($O$24:O90)))))),"-")</f>
        <v>-</v>
      </c>
      <c r="P91" s="42" t="str">
        <f t="shared" si="29"/>
        <v>-</v>
      </c>
      <c r="Q91" s="46" t="str">
        <f t="shared" si="36"/>
        <v>-</v>
      </c>
      <c r="R91" s="47"/>
      <c r="S91" s="47"/>
      <c r="T91" s="47"/>
      <c r="U91" s="47" t="e">
        <f t="shared" si="24"/>
        <v>#VALUE!</v>
      </c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BA91" s="27" t="str">
        <f t="shared" si="37"/>
        <v>-</v>
      </c>
      <c r="BB91" s="26" t="str">
        <f t="shared" si="25"/>
        <v>-</v>
      </c>
      <c r="BC91" s="26" t="str">
        <f t="shared" ca="1" si="38"/>
        <v>2031</v>
      </c>
      <c r="BD91" s="26" t="str">
        <f t="shared" ca="1" si="39"/>
        <v>03</v>
      </c>
      <c r="BE91" s="26">
        <f t="shared" ca="1" si="40"/>
        <v>16</v>
      </c>
      <c r="BF91" s="27" t="str">
        <f t="shared" ca="1" si="41"/>
        <v>domingo</v>
      </c>
      <c r="BG91" s="27">
        <f t="shared" ca="1" si="42"/>
        <v>47923</v>
      </c>
      <c r="BK91" s="26" t="str">
        <f t="shared" ref="BK91:BK96" ca="1" si="44">IF(VALUE(BL90)=12,TEXT(VALUE(BK90)+1,"0000"),BK90)</f>
        <v>2031</v>
      </c>
      <c r="BL91" s="26" t="str">
        <f t="shared" ca="1" si="23"/>
        <v>04</v>
      </c>
      <c r="BM91" s="26">
        <f t="shared" ref="BM91:BM96" ca="1" si="45">+BM90</f>
        <v>1</v>
      </c>
      <c r="BN91" s="26" t="str">
        <f t="shared" ca="1" si="43"/>
        <v>martes</v>
      </c>
      <c r="BO91" s="27" t="str">
        <f t="shared" si="30"/>
        <v>-</v>
      </c>
    </row>
    <row r="92" spans="3:67" s="26" customFormat="1" ht="12" hidden="1">
      <c r="C92" s="53">
        <v>68</v>
      </c>
      <c r="D92" s="39" t="str">
        <f t="shared" si="31"/>
        <v>-</v>
      </c>
      <c r="E92" s="39" t="str">
        <f>IF($E$20="No",IF(BF92="sábado",IF($E$7&gt;=C92,BG92+$Q$19,"-"),IF($E$7&gt;=C92,D92+$Q$19,"-")),BO92)</f>
        <v>-</v>
      </c>
      <c r="F92" s="40" t="str">
        <f t="shared" si="32"/>
        <v>-</v>
      </c>
      <c r="G92" s="40" t="str">
        <f t="shared" si="33"/>
        <v>-</v>
      </c>
      <c r="H92" s="41" t="str">
        <f t="shared" si="34"/>
        <v>-</v>
      </c>
      <c r="I92" s="42" t="str">
        <f t="shared" si="35"/>
        <v>-</v>
      </c>
      <c r="J92" s="42" t="str">
        <f t="shared" si="26"/>
        <v>-</v>
      </c>
      <c r="K92" s="42" t="str">
        <f t="shared" si="27"/>
        <v>-</v>
      </c>
      <c r="L92" s="42" t="str">
        <f>IF($E$7&gt;C92,ROUND($E$6/$H$97,2),IF($E$7=C92,J92+K92,"-"))</f>
        <v>-</v>
      </c>
      <c r="M92" s="43" t="str">
        <f t="shared" si="28"/>
        <v>-</v>
      </c>
      <c r="N92" s="48" t="str">
        <f>IF($E$7&gt;=C92,(IF(((Q92-(K92+(J91 * -1)+1))&lt;=0),1,((SUM(J$25:$J92)-(SUM($O$24:$O$26)))))),"-")</f>
        <v>-</v>
      </c>
      <c r="O92" s="45" t="str">
        <f>IF($E$7&gt;=C92,(IF((N92&lt;=0),1,((SUM($J$25:J92)-(SUM($O$24:O91)))))),"-")</f>
        <v>-</v>
      </c>
      <c r="P92" s="42" t="str">
        <f t="shared" si="29"/>
        <v>-</v>
      </c>
      <c r="Q92" s="46" t="str">
        <f t="shared" si="36"/>
        <v>-</v>
      </c>
      <c r="R92" s="47"/>
      <c r="S92" s="47"/>
      <c r="T92" s="47"/>
      <c r="U92" s="47" t="e">
        <f t="shared" si="24"/>
        <v>#VALUE!</v>
      </c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BA92" s="27" t="str">
        <f t="shared" si="37"/>
        <v>-</v>
      </c>
      <c r="BB92" s="26" t="str">
        <f t="shared" si="25"/>
        <v>-</v>
      </c>
      <c r="BC92" s="26" t="str">
        <f t="shared" ca="1" si="38"/>
        <v>2031</v>
      </c>
      <c r="BD92" s="26" t="str">
        <f t="shared" ca="1" si="39"/>
        <v>04</v>
      </c>
      <c r="BE92" s="26">
        <f t="shared" ca="1" si="40"/>
        <v>16</v>
      </c>
      <c r="BF92" s="27" t="str">
        <f t="shared" ca="1" si="41"/>
        <v>miércoles</v>
      </c>
      <c r="BG92" s="27">
        <f t="shared" ca="1" si="42"/>
        <v>47954</v>
      </c>
      <c r="BK92" s="26" t="str">
        <f t="shared" ca="1" si="44"/>
        <v>2031</v>
      </c>
      <c r="BL92" s="26" t="str">
        <f t="shared" ca="1" si="23"/>
        <v>05</v>
      </c>
      <c r="BM92" s="26">
        <f t="shared" ca="1" si="45"/>
        <v>1</v>
      </c>
      <c r="BN92" s="26" t="str">
        <f t="shared" ca="1" si="43"/>
        <v>jueves</v>
      </c>
      <c r="BO92" s="27" t="str">
        <f t="shared" si="30"/>
        <v>-</v>
      </c>
    </row>
    <row r="93" spans="3:67" s="26" customFormat="1" ht="12" hidden="1">
      <c r="C93" s="53">
        <v>69</v>
      </c>
      <c r="D93" s="39" t="str">
        <f t="shared" si="31"/>
        <v>-</v>
      </c>
      <c r="E93" s="39" t="str">
        <f>IF($E$20="No",IF(BF93="sábado",IF($E$7&gt;=C93,BG93+$Q$19,"-"),IF($E$7&gt;=C93,D93+$Q$19,"-")),BO93)</f>
        <v>-</v>
      </c>
      <c r="F93" s="40" t="str">
        <f t="shared" si="32"/>
        <v>-</v>
      </c>
      <c r="G93" s="40" t="str">
        <f t="shared" si="33"/>
        <v>-</v>
      </c>
      <c r="H93" s="41" t="str">
        <f t="shared" si="34"/>
        <v>-</v>
      </c>
      <c r="I93" s="42" t="str">
        <f t="shared" si="35"/>
        <v>-</v>
      </c>
      <c r="J93" s="42" t="str">
        <f t="shared" si="26"/>
        <v>-</v>
      </c>
      <c r="K93" s="42" t="str">
        <f t="shared" si="27"/>
        <v>-</v>
      </c>
      <c r="L93" s="42" t="str">
        <f>IF($E$7&gt;C93,ROUND($E$6/$H$97,2),IF($E$7=C93,J93+K93,"-"))</f>
        <v>-</v>
      </c>
      <c r="M93" s="43" t="str">
        <f t="shared" si="28"/>
        <v>-</v>
      </c>
      <c r="N93" s="48" t="str">
        <f>IF($E$7&gt;=C93,(IF(((Q93-(K93+(J92 * -1)+1))&lt;=0),1,((SUM(J$25:$J93)-(SUM($O$24:$O$26)))))),"-")</f>
        <v>-</v>
      </c>
      <c r="O93" s="45" t="str">
        <f>IF($E$7&gt;=C93,(IF((N93&lt;=0),1,((SUM($J$25:J93)-(SUM($O$24:O92)))))),"-")</f>
        <v>-</v>
      </c>
      <c r="P93" s="42" t="str">
        <f t="shared" si="29"/>
        <v>-</v>
      </c>
      <c r="Q93" s="46" t="str">
        <f t="shared" si="36"/>
        <v>-</v>
      </c>
      <c r="R93" s="47"/>
      <c r="S93" s="47"/>
      <c r="T93" s="47"/>
      <c r="U93" s="47" t="e">
        <f t="shared" si="24"/>
        <v>#VALUE!</v>
      </c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BA93" s="27" t="str">
        <f t="shared" si="37"/>
        <v>-</v>
      </c>
      <c r="BB93" s="26" t="str">
        <f t="shared" si="25"/>
        <v>-</v>
      </c>
      <c r="BC93" s="26" t="str">
        <f t="shared" ca="1" si="38"/>
        <v>2031</v>
      </c>
      <c r="BD93" s="26" t="str">
        <f t="shared" ca="1" si="39"/>
        <v>05</v>
      </c>
      <c r="BE93" s="26">
        <f t="shared" ca="1" si="40"/>
        <v>16</v>
      </c>
      <c r="BF93" s="27" t="str">
        <f t="shared" ca="1" si="41"/>
        <v>viernes</v>
      </c>
      <c r="BG93" s="27">
        <f t="shared" ca="1" si="42"/>
        <v>47984</v>
      </c>
      <c r="BK93" s="26" t="str">
        <f t="shared" ca="1" si="44"/>
        <v>2031</v>
      </c>
      <c r="BL93" s="26" t="str">
        <f t="shared" ca="1" si="23"/>
        <v>06</v>
      </c>
      <c r="BM93" s="26">
        <f t="shared" ca="1" si="45"/>
        <v>1</v>
      </c>
      <c r="BN93" s="26" t="str">
        <f t="shared" ca="1" si="43"/>
        <v>domingo</v>
      </c>
      <c r="BO93" s="27" t="str">
        <f t="shared" si="30"/>
        <v>-</v>
      </c>
    </row>
    <row r="94" spans="3:67" s="26" customFormat="1" ht="12" hidden="1">
      <c r="C94" s="53">
        <v>70</v>
      </c>
      <c r="D94" s="39" t="str">
        <f t="shared" si="31"/>
        <v>-</v>
      </c>
      <c r="E94" s="39" t="str">
        <f>IF($E$20="No",IF(BF94="sábado",IF($E$7&gt;=C94,BG94+$Q$19,"-"),IF($E$7&gt;=C94,D94+$Q$19,"-")),BO94)</f>
        <v>-</v>
      </c>
      <c r="F94" s="40" t="str">
        <f t="shared" si="32"/>
        <v>-</v>
      </c>
      <c r="G94" s="40" t="str">
        <f t="shared" si="33"/>
        <v>-</v>
      </c>
      <c r="H94" s="41" t="str">
        <f t="shared" si="34"/>
        <v>-</v>
      </c>
      <c r="I94" s="42" t="str">
        <f t="shared" si="35"/>
        <v>-</v>
      </c>
      <c r="J94" s="42" t="str">
        <f t="shared" si="26"/>
        <v>-</v>
      </c>
      <c r="K94" s="42" t="str">
        <f t="shared" si="27"/>
        <v>-</v>
      </c>
      <c r="L94" s="42" t="str">
        <f>IF($E$7&gt;C94,ROUND($E$6/$H$97,2),IF($E$7=C94,J94+K94,"-"))</f>
        <v>-</v>
      </c>
      <c r="M94" s="43" t="str">
        <f t="shared" si="28"/>
        <v>-</v>
      </c>
      <c r="N94" s="48" t="str">
        <f>IF($E$7&gt;=C94,(IF(((Q94-(K94+(J93 * -1)+1))&lt;=0),1,((SUM(J$25:$J94)-(SUM($O$24:$O$26)))))),"-")</f>
        <v>-</v>
      </c>
      <c r="O94" s="45" t="str">
        <f>IF($E$7&gt;=C94,(IF((N94&lt;=0),1,((SUM($J$25:J94)-(SUM($O$24:O93)))))),"-")</f>
        <v>-</v>
      </c>
      <c r="P94" s="42" t="str">
        <f t="shared" si="29"/>
        <v>-</v>
      </c>
      <c r="Q94" s="46" t="str">
        <f t="shared" si="36"/>
        <v>-</v>
      </c>
      <c r="R94" s="47"/>
      <c r="S94" s="47"/>
      <c r="T94" s="47"/>
      <c r="U94" s="47" t="e">
        <f t="shared" si="24"/>
        <v>#VALUE!</v>
      </c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BA94" s="27" t="str">
        <f t="shared" si="37"/>
        <v>-</v>
      </c>
      <c r="BB94" s="26" t="str">
        <f t="shared" si="25"/>
        <v>-</v>
      </c>
      <c r="BC94" s="26" t="str">
        <f t="shared" ca="1" si="38"/>
        <v>2031</v>
      </c>
      <c r="BD94" s="26" t="str">
        <f t="shared" ca="1" si="39"/>
        <v>06</v>
      </c>
      <c r="BE94" s="26">
        <f t="shared" ca="1" si="40"/>
        <v>16</v>
      </c>
      <c r="BF94" s="27" t="str">
        <f t="shared" ca="1" si="41"/>
        <v>lunes</v>
      </c>
      <c r="BG94" s="27">
        <f t="shared" ca="1" si="42"/>
        <v>48015</v>
      </c>
      <c r="BK94" s="26" t="str">
        <f t="shared" ca="1" si="44"/>
        <v>2031</v>
      </c>
      <c r="BL94" s="26" t="str">
        <f t="shared" ca="1" si="23"/>
        <v>07</v>
      </c>
      <c r="BM94" s="26">
        <f t="shared" ca="1" si="45"/>
        <v>1</v>
      </c>
      <c r="BN94" s="26" t="str">
        <f t="shared" ca="1" si="43"/>
        <v>martes</v>
      </c>
      <c r="BO94" s="27" t="str">
        <f t="shared" si="30"/>
        <v>-</v>
      </c>
    </row>
    <row r="95" spans="3:67" s="26" customFormat="1" ht="12" hidden="1">
      <c r="C95" s="53">
        <v>71</v>
      </c>
      <c r="D95" s="39" t="str">
        <f t="shared" si="31"/>
        <v>-</v>
      </c>
      <c r="E95" s="39" t="str">
        <f>IF($E$20="No",IF(BF95="sábado",IF($E$7&gt;=C95,BG95+$Q$19,"-"),IF($E$7&gt;=C95,D95+$Q$19,"-")),BO95)</f>
        <v>-</v>
      </c>
      <c r="F95" s="40" t="str">
        <f t="shared" si="32"/>
        <v>-</v>
      </c>
      <c r="G95" s="40" t="str">
        <f t="shared" si="33"/>
        <v>-</v>
      </c>
      <c r="H95" s="41" t="str">
        <f t="shared" si="34"/>
        <v>-</v>
      </c>
      <c r="I95" s="42" t="str">
        <f t="shared" si="35"/>
        <v>-</v>
      </c>
      <c r="J95" s="42" t="str">
        <f t="shared" si="26"/>
        <v>-</v>
      </c>
      <c r="K95" s="42" t="str">
        <f t="shared" si="27"/>
        <v>-</v>
      </c>
      <c r="L95" s="42" t="str">
        <f>IF($E$7&gt;C95,ROUND($E$6/$H$97,2),IF($E$7=C95,J95+K95,"-"))</f>
        <v>-</v>
      </c>
      <c r="M95" s="43" t="str">
        <f t="shared" si="28"/>
        <v>-</v>
      </c>
      <c r="N95" s="48" t="str">
        <f>IF($E$7&gt;=C95,(IF(((Q95-(K95+(J94 * -1)+1))&lt;=0),1,((SUM(J$25:$J95)-(SUM($O$24:$O$26)))))),"-")</f>
        <v>-</v>
      </c>
      <c r="O95" s="45" t="str">
        <f>IF($E$7&gt;=C95,(IF((N95&lt;=0),1,((SUM($J$25:J95)-(SUM($O$24:O94)))))),"-")</f>
        <v>-</v>
      </c>
      <c r="P95" s="42" t="str">
        <f t="shared" si="29"/>
        <v>-</v>
      </c>
      <c r="Q95" s="46" t="str">
        <f t="shared" si="36"/>
        <v>-</v>
      </c>
      <c r="R95" s="47"/>
      <c r="S95" s="47"/>
      <c r="T95" s="47"/>
      <c r="U95" s="47" t="e">
        <f t="shared" si="24"/>
        <v>#VALUE!</v>
      </c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BA95" s="27" t="str">
        <f t="shared" si="37"/>
        <v>-</v>
      </c>
      <c r="BB95" s="26" t="str">
        <f t="shared" si="25"/>
        <v>-</v>
      </c>
      <c r="BC95" s="26" t="str">
        <f t="shared" ca="1" si="38"/>
        <v>2031</v>
      </c>
      <c r="BD95" s="26" t="str">
        <f t="shared" ca="1" si="39"/>
        <v>07</v>
      </c>
      <c r="BE95" s="26">
        <f t="shared" ca="1" si="40"/>
        <v>16</v>
      </c>
      <c r="BF95" s="27" t="str">
        <f t="shared" ca="1" si="41"/>
        <v>miércoles</v>
      </c>
      <c r="BG95" s="27">
        <f t="shared" ca="1" si="42"/>
        <v>48045</v>
      </c>
      <c r="BK95" s="26" t="str">
        <f t="shared" ca="1" si="44"/>
        <v>2031</v>
      </c>
      <c r="BL95" s="26" t="str">
        <f t="shared" ca="1" si="23"/>
        <v>08</v>
      </c>
      <c r="BM95" s="26">
        <f t="shared" ca="1" si="45"/>
        <v>1</v>
      </c>
      <c r="BN95" s="26" t="str">
        <f t="shared" ca="1" si="43"/>
        <v>viernes</v>
      </c>
      <c r="BO95" s="27" t="str">
        <f t="shared" si="30"/>
        <v>-</v>
      </c>
    </row>
    <row r="96" spans="3:67" s="26" customFormat="1" ht="12" hidden="1">
      <c r="C96" s="71">
        <v>72</v>
      </c>
      <c r="D96" s="72" t="str">
        <f t="shared" si="31"/>
        <v>-</v>
      </c>
      <c r="E96" s="39" t="str">
        <f>IF($E$20="No",IF(BF96="sábado",IF($E$7&gt;=C96,BG96+$Q$19,"-"),IF($E$7&gt;=C96,D96+$Q$19,"-")),BO96)</f>
        <v>-</v>
      </c>
      <c r="F96" s="40" t="str">
        <f t="shared" si="32"/>
        <v>-</v>
      </c>
      <c r="G96" s="40" t="str">
        <f t="shared" si="33"/>
        <v>-</v>
      </c>
      <c r="H96" s="41" t="str">
        <f t="shared" si="34"/>
        <v>-</v>
      </c>
      <c r="I96" s="42" t="str">
        <f t="shared" si="35"/>
        <v>-</v>
      </c>
      <c r="J96" s="42" t="str">
        <f t="shared" si="26"/>
        <v>-</v>
      </c>
      <c r="K96" s="42" t="str">
        <f t="shared" si="27"/>
        <v>-</v>
      </c>
      <c r="L96" s="42" t="str">
        <f>IF($E$7&gt;C96,ROUND($E$6/$H$97,2),IF($E$7=C96,J96+K96,"-"))</f>
        <v>-</v>
      </c>
      <c r="M96" s="43" t="str">
        <f t="shared" si="28"/>
        <v>-</v>
      </c>
      <c r="N96" s="48" t="str">
        <f>IF($E$7&gt;=C96,(IF(((Q96-(K96+(J95 * -1)+1))&lt;=0),1,((SUM(J$25:$J96)-(SUM($O$24:$O$26)))))),"-")</f>
        <v>-</v>
      </c>
      <c r="O96" s="45" t="str">
        <f>IF($E$7&gt;=C96,(IF((N96&lt;=0),1,((SUM($J$25:J96)-(SUM($O$24:O95)))))),"-")</f>
        <v>-</v>
      </c>
      <c r="P96" s="42" t="str">
        <f t="shared" si="29"/>
        <v>-</v>
      </c>
      <c r="Q96" s="46" t="str">
        <f t="shared" si="36"/>
        <v>-</v>
      </c>
      <c r="R96" s="47"/>
      <c r="S96" s="47"/>
      <c r="T96" s="47"/>
      <c r="U96" s="47" t="e">
        <f t="shared" si="24"/>
        <v>#VALUE!</v>
      </c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BA96" s="27" t="str">
        <f t="shared" si="37"/>
        <v>-</v>
      </c>
      <c r="BB96" s="26" t="str">
        <f t="shared" si="25"/>
        <v>-</v>
      </c>
      <c r="BC96" s="26" t="str">
        <f t="shared" ca="1" si="38"/>
        <v>2031</v>
      </c>
      <c r="BD96" s="26" t="str">
        <f t="shared" ca="1" si="39"/>
        <v>08</v>
      </c>
      <c r="BE96" s="26">
        <f t="shared" ca="1" si="40"/>
        <v>16</v>
      </c>
      <c r="BF96" s="27" t="str">
        <f t="shared" ca="1" si="41"/>
        <v>sábado</v>
      </c>
      <c r="BG96" s="27">
        <f t="shared" ca="1" si="42"/>
        <v>48076</v>
      </c>
      <c r="BK96" s="26" t="str">
        <f t="shared" ca="1" si="44"/>
        <v>2031</v>
      </c>
      <c r="BL96" s="26" t="str">
        <f t="shared" ca="1" si="23"/>
        <v>09</v>
      </c>
      <c r="BM96" s="26">
        <f t="shared" ca="1" si="45"/>
        <v>1</v>
      </c>
      <c r="BN96" s="26" t="str">
        <f t="shared" ca="1" si="43"/>
        <v>lunes</v>
      </c>
      <c r="BO96" s="27" t="str">
        <f t="shared" si="30"/>
        <v>-</v>
      </c>
    </row>
    <row r="97" spans="3:51" s="26" customFormat="1" ht="12.75" thickBot="1">
      <c r="C97" s="73"/>
      <c r="D97" s="73"/>
      <c r="E97" s="85" t="s">
        <v>39</v>
      </c>
      <c r="F97" s="54">
        <f ca="1">SUM(F25:F96)</f>
        <v>1096</v>
      </c>
      <c r="G97" s="55"/>
      <c r="H97" s="56">
        <f ca="1">SUM(H25:H96)</f>
        <v>31.598679085000001</v>
      </c>
      <c r="I97" s="57"/>
      <c r="J97" s="58">
        <f ca="1">SUM(J25:J96)</f>
        <v>39999.999999999985</v>
      </c>
      <c r="K97" s="58">
        <f ca="1">SUM(K25:K96)</f>
        <v>5571.5</v>
      </c>
      <c r="L97" s="58">
        <f ca="1">SUM(L25:L96)</f>
        <v>45571.499999999985</v>
      </c>
      <c r="M97" s="59"/>
      <c r="N97" s="60"/>
      <c r="O97" s="61">
        <f ca="1">SUM(O25:O96)</f>
        <v>39999.999999999985</v>
      </c>
      <c r="P97" s="58">
        <f ca="1">SUM(P25:P96)</f>
        <v>5571.5000000000091</v>
      </c>
      <c r="Q97" s="62">
        <f ca="1">SUM(Q25:Q96)</f>
        <v>45571.499999999985</v>
      </c>
      <c r="R97" s="62"/>
      <c r="S97" s="62">
        <f ca="1">SUM(S25:S96)</f>
        <v>0</v>
      </c>
      <c r="T97" s="96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</row>
    <row r="98" spans="3:51" s="26" customFormat="1" ht="12.75" thickBot="1">
      <c r="I98" s="66" t="s">
        <v>37</v>
      </c>
    </row>
  </sheetData>
  <sheetProtection algorithmName="SHA-512" hashValue="Igsg+bIU5SJk5peEgk5+tSP24jSq14g7dMbrR46ZeAaTeLhVct8/2xDmN9nFDjiHNExpq1iWRqaACd2K9xIHPQ==" saltValue="ZtMnweBJG3fYWzDqpr6sNQ==" spinCount="100000" sheet="1" selectLockedCells="1"/>
  <protectedRanges>
    <protectedRange sqref="S8 E8 E14:E20 E10:E12" name="Rango1"/>
  </protectedRanges>
  <mergeCells count="14">
    <mergeCell ref="Y20:Z20"/>
    <mergeCell ref="O22:Q22"/>
    <mergeCell ref="P9:Q9"/>
    <mergeCell ref="C11:S11"/>
    <mergeCell ref="C12:S12"/>
    <mergeCell ref="C13:S13"/>
    <mergeCell ref="C14:S14"/>
    <mergeCell ref="O18:P18"/>
    <mergeCell ref="C4:S4"/>
    <mergeCell ref="C6:D6"/>
    <mergeCell ref="P6:Q6"/>
    <mergeCell ref="C7:D7"/>
    <mergeCell ref="C8:D8"/>
    <mergeCell ref="P8:Q8"/>
  </mergeCells>
  <dataValidations count="3">
    <dataValidation type="decimal" allowBlank="1" showInputMessage="1" showErrorMessage="1" sqref="E8" xr:uid="{13154B1A-DC04-4104-AB15-8D972DAAC04A}">
      <formula1>0.0599</formula1>
      <formula2>1.5</formula2>
    </dataValidation>
    <dataValidation type="decimal" allowBlank="1" showInputMessage="1" showErrorMessage="1" sqref="E6" xr:uid="{F28683A2-18E4-40FB-83D6-980F6565E92A}">
      <formula1>1</formula1>
      <formula2>200000</formula2>
    </dataValidation>
    <dataValidation type="list" allowBlank="1" showInputMessage="1" showErrorMessage="1" sqref="E7" xr:uid="{319702E2-6AE3-4243-8D33-6FEBD74AFA86}">
      <formula1>$AA$26:$AA$84</formula1>
    </dataValidation>
  </dataValidations>
  <printOptions horizontalCentered="1" verticalCentered="1"/>
  <pageMargins left="0.27559055118110237" right="0.51181102362204722" top="0.78740157480314965" bottom="0.82677165354330717" header="0" footer="0"/>
  <pageSetup paperSize="9" scale="71" orientation="landscape" r:id="rId1"/>
  <headerFooter alignWithMargins="0"/>
  <rowBreaks count="1" manualBreakCount="1">
    <brk id="47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BO99"/>
  <sheetViews>
    <sheetView showGridLines="0" topLeftCell="A28" zoomScale="75" zoomScaleNormal="100" workbookViewId="0">
      <selection activeCell="E8" sqref="E8"/>
    </sheetView>
  </sheetViews>
  <sheetFormatPr baseColWidth="10" defaultColWidth="0" defaultRowHeight="11.25" zeroHeight="1"/>
  <cols>
    <col min="1" max="1" width="3.5703125" style="26" bestFit="1" customWidth="1"/>
    <col min="2" max="2" width="11.42578125" style="97" hidden="1" customWidth="1"/>
    <col min="3" max="3" width="11.5703125" style="97" customWidth="1"/>
    <col min="4" max="4" width="14.5703125" style="97" bestFit="1" customWidth="1"/>
    <col min="5" max="5" width="17.85546875" style="97" customWidth="1"/>
    <col min="6" max="6" width="4.5703125" style="97" hidden="1" customWidth="1"/>
    <col min="7" max="7" width="8.85546875" style="97" hidden="1" customWidth="1"/>
    <col min="8" max="8" width="9.42578125" style="97" hidden="1" customWidth="1"/>
    <col min="9" max="10" width="10.85546875" style="97" hidden="1" customWidth="1"/>
    <col min="11" max="12" width="7.42578125" style="97" hidden="1" customWidth="1"/>
    <col min="13" max="13" width="8.85546875" style="97" hidden="1" customWidth="1"/>
    <col min="14" max="14" width="7.42578125" style="97" hidden="1" customWidth="1"/>
    <col min="15" max="15" width="16.28515625" style="97" customWidth="1"/>
    <col min="16" max="16" width="13.85546875" style="97" customWidth="1"/>
    <col min="17" max="17" width="12.28515625" style="97" bestFit="1" customWidth="1"/>
    <col min="18" max="18" width="0.5703125" style="97" hidden="1" customWidth="1"/>
    <col min="19" max="19" width="12.85546875" style="97" bestFit="1" customWidth="1"/>
    <col min="20" max="20" width="4.5703125" style="26" customWidth="1"/>
    <col min="21" max="21" width="6.85546875" style="26" hidden="1" customWidth="1"/>
    <col min="22" max="25" width="8.85546875" style="26" hidden="1" customWidth="1"/>
    <col min="26" max="26" width="5.42578125" style="26" hidden="1" customWidth="1"/>
    <col min="27" max="27" width="8.85546875" style="26" hidden="1" customWidth="1"/>
    <col min="28" max="51" width="8.85546875" style="26" hidden="1"/>
    <col min="52" max="52" width="11.42578125" style="26" hidden="1"/>
    <col min="53" max="53" width="7.5703125" style="26" hidden="1"/>
    <col min="54" max="54" width="1.140625" style="26" hidden="1"/>
    <col min="55" max="55" width="3.5703125" style="26" hidden="1"/>
    <col min="56" max="57" width="2.140625" style="26" hidden="1"/>
    <col min="58" max="58" width="6.42578125" style="26" hidden="1"/>
    <col min="59" max="59" width="8.140625" style="26" hidden="1"/>
    <col min="60" max="60" width="11.42578125" style="26" hidden="1"/>
    <col min="61" max="61" width="7.5703125" style="26" hidden="1"/>
    <col min="62" max="62" width="9" style="26" hidden="1"/>
    <col min="63" max="63" width="3.5703125" style="26" hidden="1"/>
    <col min="64" max="64" width="16.7109375" style="26" hidden="1"/>
    <col min="65" max="65" width="2.140625" style="26" hidden="1"/>
    <col min="66" max="66" width="6.42578125" style="26" hidden="1"/>
    <col min="67" max="67" width="10" style="26" hidden="1"/>
    <col min="68" max="16384" width="11.42578125" style="97" hidden="1"/>
  </cols>
  <sheetData>
    <row r="1" spans="1:64" s="26" customFormat="1"/>
    <row r="2" spans="1:64" s="26" customFormat="1" ht="20.100000000000001" customHeight="1"/>
    <row r="3" spans="1:64" s="26" customFormat="1"/>
    <row r="4" spans="1:64" s="18" customFormat="1" ht="42.75" customHeight="1">
      <c r="B4" s="70"/>
      <c r="C4" s="156" t="s">
        <v>60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17"/>
      <c r="BF4" s="19"/>
    </row>
    <row r="5" spans="1:64" s="26" customFormat="1" ht="16.5" thickBot="1">
      <c r="A5" s="20"/>
      <c r="B5" s="20"/>
      <c r="C5" s="21" t="s">
        <v>12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3"/>
      <c r="BA5" s="23"/>
      <c r="BB5" s="24"/>
      <c r="BC5" s="30"/>
      <c r="BD5" s="25"/>
      <c r="BF5" s="27"/>
    </row>
    <row r="6" spans="1:64" ht="25.5" customHeight="1" thickBot="1">
      <c r="B6" s="26"/>
      <c r="C6" s="118" t="s">
        <v>50</v>
      </c>
      <c r="D6" s="119"/>
      <c r="E6" s="111">
        <v>4000</v>
      </c>
      <c r="F6" s="98"/>
      <c r="G6" s="98"/>
      <c r="H6" s="98"/>
      <c r="I6" s="98"/>
      <c r="J6" s="98"/>
      <c r="K6" s="98"/>
      <c r="L6" s="98"/>
      <c r="M6" s="98"/>
      <c r="N6" s="98"/>
      <c r="O6" s="26"/>
      <c r="P6" s="124" t="s">
        <v>35</v>
      </c>
      <c r="Q6" s="125"/>
      <c r="R6" s="91"/>
      <c r="S6" s="108">
        <f ca="1">+TODAY()</f>
        <v>45902</v>
      </c>
      <c r="AZ6" s="28"/>
      <c r="BA6" s="28"/>
      <c r="BB6" s="110"/>
      <c r="BC6" s="49"/>
      <c r="BF6" s="27"/>
      <c r="BG6" s="27"/>
      <c r="BH6" s="27"/>
    </row>
    <row r="7" spans="1:64" ht="15.75" thickBot="1">
      <c r="B7" s="26"/>
      <c r="C7" s="120" t="s">
        <v>1</v>
      </c>
      <c r="D7" s="121"/>
      <c r="E7" s="92">
        <v>36</v>
      </c>
      <c r="F7" s="98"/>
      <c r="G7" s="98"/>
      <c r="H7" s="98"/>
      <c r="I7" s="98"/>
      <c r="J7" s="98"/>
      <c r="K7" s="98"/>
      <c r="L7" s="98"/>
      <c r="M7" s="98"/>
      <c r="N7" s="98"/>
      <c r="O7" s="26"/>
      <c r="P7" s="26"/>
      <c r="Q7" s="26"/>
      <c r="R7" s="90"/>
      <c r="S7" s="26"/>
      <c r="AZ7" s="28"/>
      <c r="BA7" s="28"/>
      <c r="BB7" s="110"/>
      <c r="BE7" s="29"/>
      <c r="BF7" s="27"/>
      <c r="BG7" s="27"/>
      <c r="BH7" s="27"/>
      <c r="BI7" s="27"/>
    </row>
    <row r="8" spans="1:64" ht="15.75" thickBot="1">
      <c r="B8" s="26"/>
      <c r="C8" s="120" t="s">
        <v>49</v>
      </c>
      <c r="D8" s="121"/>
      <c r="E8" s="93">
        <v>8.8999999999999996E-2</v>
      </c>
      <c r="F8" s="99"/>
      <c r="G8" s="99"/>
      <c r="H8" s="99"/>
      <c r="I8" s="99"/>
      <c r="J8" s="99"/>
      <c r="K8" s="99"/>
      <c r="L8" s="99"/>
      <c r="M8" s="99"/>
      <c r="N8" s="99"/>
      <c r="O8" s="26"/>
      <c r="P8" s="141" t="s">
        <v>48</v>
      </c>
      <c r="Q8" s="142"/>
      <c r="R8" s="143"/>
      <c r="S8" s="147">
        <f ca="1">(1+(IRR(U24:U85)))^12-1</f>
        <v>0.13657517478240622</v>
      </c>
      <c r="AZ8" s="28"/>
      <c r="BA8" s="64"/>
      <c r="BD8" s="27"/>
      <c r="BE8" s="29"/>
      <c r="BG8" s="27"/>
      <c r="BH8" s="27"/>
      <c r="BK8" s="27"/>
      <c r="BL8" s="27"/>
    </row>
    <row r="9" spans="1:64" s="26" customFormat="1" ht="15.75" thickBot="1">
      <c r="F9" s="86"/>
      <c r="G9" s="86"/>
      <c r="H9" s="86"/>
      <c r="I9" s="86"/>
      <c r="J9" s="86"/>
      <c r="K9" s="86"/>
      <c r="L9" s="86"/>
      <c r="M9" s="86"/>
      <c r="N9" s="86"/>
      <c r="P9" s="144" t="s">
        <v>54</v>
      </c>
      <c r="Q9" s="145"/>
      <c r="R9" s="146"/>
      <c r="S9" s="157">
        <v>3.5000000000000001E-3</v>
      </c>
      <c r="AZ9" s="28"/>
      <c r="BA9" s="64"/>
      <c r="BD9" s="27"/>
      <c r="BE9" s="29"/>
      <c r="BG9" s="27"/>
      <c r="BH9" s="27"/>
      <c r="BK9" s="27"/>
      <c r="BL9" s="27"/>
    </row>
    <row r="10" spans="1:64" s="26" customFormat="1" ht="15">
      <c r="C10" s="21" t="s">
        <v>36</v>
      </c>
      <c r="E10" s="100"/>
      <c r="F10" s="28"/>
      <c r="G10" s="28"/>
      <c r="H10" s="28"/>
      <c r="I10" s="28"/>
      <c r="J10" s="28"/>
      <c r="K10" s="28"/>
      <c r="L10" s="28"/>
      <c r="M10" s="28"/>
      <c r="N10" s="28"/>
      <c r="AZ10" s="28"/>
      <c r="BA10" s="64"/>
      <c r="BD10" s="27"/>
      <c r="BE10" s="29"/>
      <c r="BG10" s="27"/>
      <c r="BH10" s="27"/>
      <c r="BK10" s="27"/>
      <c r="BL10" s="27"/>
    </row>
    <row r="11" spans="1:64" s="26" customFormat="1" ht="77.45" customHeight="1">
      <c r="C11" s="114" t="s">
        <v>43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94"/>
      <c r="AZ11" s="28"/>
      <c r="BA11" s="64"/>
      <c r="BD11" s="27"/>
      <c r="BE11" s="29"/>
      <c r="BG11" s="27"/>
      <c r="BH11" s="27"/>
      <c r="BK11" s="27"/>
      <c r="BL11" s="27"/>
    </row>
    <row r="12" spans="1:64" s="26" customFormat="1" ht="45.95" customHeight="1">
      <c r="C12" s="114" t="s">
        <v>46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94"/>
      <c r="AZ12" s="28"/>
      <c r="BA12" s="64"/>
      <c r="BD12" s="27"/>
      <c r="BE12" s="29"/>
      <c r="BG12" s="27"/>
      <c r="BH12" s="27"/>
      <c r="BK12" s="27"/>
      <c r="BL12" s="27"/>
    </row>
    <row r="13" spans="1:64" s="26" customFormat="1" ht="32.450000000000003" customHeight="1">
      <c r="C13" s="113" t="s">
        <v>53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95"/>
      <c r="AZ13" s="28"/>
      <c r="BA13" s="64"/>
      <c r="BD13" s="27"/>
      <c r="BE13" s="29"/>
      <c r="BG13" s="27"/>
      <c r="BH13" s="27"/>
      <c r="BK13" s="27"/>
      <c r="BL13" s="27"/>
    </row>
    <row r="14" spans="1:64" s="26" customFormat="1" ht="18.600000000000001" customHeight="1">
      <c r="C14" s="114" t="s">
        <v>51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94"/>
      <c r="AZ14" s="28"/>
      <c r="BA14" s="64"/>
      <c r="BD14" s="27"/>
      <c r="BE14" s="29"/>
      <c r="BG14" s="27"/>
      <c r="BH14" s="27"/>
      <c r="BK14" s="27"/>
      <c r="BL14" s="27"/>
    </row>
    <row r="15" spans="1:64" s="26" customFormat="1" ht="29.1" customHeight="1">
      <c r="C15" s="114" t="s">
        <v>52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94"/>
      <c r="AZ15" s="28"/>
      <c r="BA15" s="64"/>
      <c r="BD15" s="27"/>
      <c r="BE15" s="29"/>
      <c r="BG15" s="27"/>
      <c r="BH15" s="27"/>
      <c r="BK15" s="27"/>
      <c r="BL15" s="27"/>
    </row>
    <row r="16" spans="1:64" s="26" customFormat="1" ht="11.1" customHeight="1" thickBot="1"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AZ16" s="28"/>
      <c r="BA16" s="64"/>
      <c r="BD16" s="27"/>
      <c r="BE16" s="29"/>
      <c r="BG16" s="27"/>
      <c r="BH16" s="27"/>
      <c r="BK16" s="27"/>
      <c r="BL16" s="27"/>
    </row>
    <row r="17" spans="1:67" s="26" customFormat="1" ht="15" hidden="1">
      <c r="C17" s="28"/>
      <c r="E17" s="100"/>
      <c r="F17" s="28"/>
      <c r="G17" s="28"/>
      <c r="H17" s="28"/>
      <c r="I17" s="28"/>
      <c r="J17" s="28"/>
      <c r="K17" s="28"/>
      <c r="L17" s="28"/>
      <c r="M17" s="28"/>
      <c r="N17" s="28"/>
      <c r="AZ17" s="28"/>
      <c r="BA17" s="64"/>
      <c r="BD17" s="27"/>
      <c r="BE17" s="29"/>
      <c r="BG17" s="27"/>
      <c r="BH17" s="27"/>
      <c r="BK17" s="27"/>
      <c r="BL17" s="27"/>
    </row>
    <row r="18" spans="1:67" s="26" customFormat="1" ht="15.75" hidden="1" thickBot="1">
      <c r="C18" s="28"/>
      <c r="E18" s="100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01"/>
      <c r="AZ18" s="28"/>
      <c r="BA18" s="28"/>
      <c r="BD18" s="27"/>
      <c r="BE18" s="29"/>
      <c r="BG18" s="27"/>
      <c r="BH18" s="27"/>
      <c r="BK18" s="27"/>
      <c r="BL18" s="27"/>
    </row>
    <row r="19" spans="1:67" s="26" customFormat="1" ht="15.75" hidden="1" thickBot="1">
      <c r="C19" s="21" t="s">
        <v>30</v>
      </c>
      <c r="E19" s="100"/>
      <c r="F19" s="28"/>
      <c r="G19" s="28"/>
      <c r="H19" s="28"/>
      <c r="I19" s="28"/>
      <c r="J19" s="28"/>
      <c r="K19" s="28"/>
      <c r="L19" s="28"/>
      <c r="M19" s="28"/>
      <c r="N19" s="28"/>
      <c r="O19" s="122" t="s">
        <v>16</v>
      </c>
      <c r="P19" s="122"/>
      <c r="Q19" s="102">
        <f ca="1">+Q21-15</f>
        <v>45916</v>
      </c>
      <c r="AZ19" s="28"/>
      <c r="BA19" s="28"/>
      <c r="BD19" s="27"/>
      <c r="BE19" s="29"/>
      <c r="BG19" s="27"/>
      <c r="BH19" s="27"/>
      <c r="BK19" s="27"/>
      <c r="BL19" s="27"/>
    </row>
    <row r="20" spans="1:67" s="26" customFormat="1" ht="15" hidden="1">
      <c r="C20" s="28"/>
      <c r="E20" s="100"/>
      <c r="F20" s="28"/>
      <c r="G20" s="28"/>
      <c r="H20" s="28"/>
      <c r="I20" s="28"/>
      <c r="J20" s="28"/>
      <c r="K20" s="28"/>
      <c r="L20" s="28"/>
      <c r="M20" s="28"/>
      <c r="N20" s="28"/>
      <c r="O20" s="88" t="s">
        <v>13</v>
      </c>
      <c r="P20" s="88" t="s">
        <v>14</v>
      </c>
      <c r="Q20" s="103">
        <v>28</v>
      </c>
      <c r="Z20" s="26" t="s">
        <v>40</v>
      </c>
      <c r="AA20" s="104">
        <v>30</v>
      </c>
      <c r="AZ20" s="28"/>
      <c r="BA20" s="28"/>
      <c r="BD20" s="27"/>
      <c r="BE20" s="29"/>
      <c r="BG20" s="27"/>
      <c r="BH20" s="27"/>
      <c r="BK20" s="27"/>
      <c r="BL20" s="27"/>
    </row>
    <row r="21" spans="1:67" s="26" customFormat="1" ht="15.75" hidden="1" thickBot="1">
      <c r="C21" s="28" t="s">
        <v>31</v>
      </c>
      <c r="E21" s="105" t="s">
        <v>34</v>
      </c>
      <c r="F21" s="28"/>
      <c r="G21" s="28"/>
      <c r="H21" s="28"/>
      <c r="I21" s="28"/>
      <c r="J21" s="28"/>
      <c r="K21" s="28"/>
      <c r="L21" s="28"/>
      <c r="M21" s="28"/>
      <c r="N21" s="28"/>
      <c r="O21" s="28" t="s">
        <v>41</v>
      </c>
      <c r="P21" s="28"/>
      <c r="Q21" s="65">
        <f ca="1">+S6+29</f>
        <v>45931</v>
      </c>
      <c r="Y21" s="112" t="s">
        <v>42</v>
      </c>
      <c r="Z21" s="112"/>
      <c r="AA21" s="106">
        <v>3.5000000000000001E-3</v>
      </c>
      <c r="AZ21" s="28"/>
      <c r="BA21" s="28"/>
      <c r="BD21" s="27"/>
      <c r="BE21" s="29"/>
      <c r="BG21" s="27"/>
      <c r="BH21" s="27"/>
      <c r="BK21" s="27"/>
      <c r="BL21" s="27"/>
    </row>
    <row r="22" spans="1:67" s="26" customFormat="1" hidden="1"/>
    <row r="23" spans="1:67" s="26" customFormat="1" ht="15.75" hidden="1" thickBot="1">
      <c r="C23" s="74" t="s">
        <v>10</v>
      </c>
      <c r="D23" s="75"/>
      <c r="E23" s="76"/>
      <c r="F23" s="67"/>
      <c r="G23" s="67"/>
      <c r="H23" s="67"/>
      <c r="I23" s="67"/>
      <c r="J23" s="67"/>
      <c r="K23" s="67"/>
      <c r="L23" s="67"/>
      <c r="M23" s="68"/>
      <c r="N23" s="69"/>
      <c r="O23" s="115" t="s">
        <v>9</v>
      </c>
      <c r="P23" s="116"/>
      <c r="Q23" s="117"/>
      <c r="R23" s="30"/>
      <c r="S23" s="30"/>
      <c r="T23" s="30"/>
      <c r="U23" s="30"/>
      <c r="V23" s="30"/>
      <c r="W23" s="30"/>
      <c r="X23" s="30"/>
      <c r="Y23" s="30"/>
      <c r="Z23" s="30"/>
      <c r="AA23" s="31" t="s">
        <v>1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1:67" s="26" customFormat="1" ht="30" customHeight="1">
      <c r="A24" s="148"/>
      <c r="B24" s="148"/>
      <c r="C24" s="149" t="s">
        <v>4</v>
      </c>
      <c r="D24" s="139" t="s">
        <v>45</v>
      </c>
      <c r="E24" s="140" t="s">
        <v>44</v>
      </c>
      <c r="F24" s="150" t="s">
        <v>3</v>
      </c>
      <c r="G24" s="151" t="s">
        <v>8</v>
      </c>
      <c r="H24" s="151" t="s">
        <v>15</v>
      </c>
      <c r="I24" s="151" t="s">
        <v>7</v>
      </c>
      <c r="J24" s="151" t="s">
        <v>6</v>
      </c>
      <c r="K24" s="151" t="s">
        <v>2</v>
      </c>
      <c r="L24" s="151" t="s">
        <v>0</v>
      </c>
      <c r="M24" s="152" t="s">
        <v>5</v>
      </c>
      <c r="N24" s="153"/>
      <c r="O24" s="149" t="s">
        <v>38</v>
      </c>
      <c r="P24" s="154" t="s">
        <v>2</v>
      </c>
      <c r="Q24" s="140" t="s">
        <v>47</v>
      </c>
      <c r="R24" s="155"/>
      <c r="S24" s="138" t="s">
        <v>54</v>
      </c>
      <c r="T24" s="31"/>
      <c r="U24" s="89">
        <f>-E6</f>
        <v>-4000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</row>
    <row r="25" spans="1:67" s="26" customFormat="1" hidden="1">
      <c r="C25" s="32">
        <v>0</v>
      </c>
      <c r="D25" s="33"/>
      <c r="E25" s="37"/>
      <c r="F25" s="33"/>
      <c r="G25" s="34"/>
      <c r="H25" s="34"/>
      <c r="I25" s="34"/>
      <c r="J25" s="34"/>
      <c r="K25" s="34"/>
      <c r="L25" s="34"/>
      <c r="M25" s="35"/>
      <c r="N25" s="36"/>
      <c r="O25" s="32"/>
      <c r="P25" s="34"/>
      <c r="Q25" s="37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BF25" s="31" t="s">
        <v>28</v>
      </c>
      <c r="BG25" s="31" t="s">
        <v>29</v>
      </c>
      <c r="BL25" s="63" t="s">
        <v>32</v>
      </c>
      <c r="BO25" s="107" t="s">
        <v>33</v>
      </c>
    </row>
    <row r="26" spans="1:67" s="26" customFormat="1" ht="12">
      <c r="C26" s="38">
        <v>1</v>
      </c>
      <c r="D26" s="39">
        <f ca="1">IF(E7&gt;=C26,IF(DAY(BG26)=1,IF(TEXT(BG26,"dddd")="sábado",BG26+1,BG26),IF(DAY(BG26)&gt;1,IF(TEXT(BG26,"dddd")="sábado",BG26-1,BG26),"-")))</f>
        <v>45916</v>
      </c>
      <c r="E26" s="81">
        <f t="shared" ref="E26:E57" ca="1" si="0">IF($E$21="No",IF(BF26="sábado",IF($E$7&gt;=C26,BG26+$Q$20,"-"),IF($E$7&gt;=C26,D26+$Q$20,"-")),BO26)</f>
        <v>45931</v>
      </c>
      <c r="F26" s="77">
        <f ca="1">IF($E$7&gt;=C26,E26-S6+1,"-")</f>
        <v>30</v>
      </c>
      <c r="G26" s="40">
        <f ca="1">IF($E$7&gt;=C26,F26,"-")</f>
        <v>30</v>
      </c>
      <c r="H26" s="41">
        <f ca="1">IF($E$7&gt;=C26,ROUND(1/((1+$E$8)^(G26/360)),9),"-")</f>
        <v>0.99292019399999998</v>
      </c>
      <c r="I26" s="42">
        <f>IF($E$7&gt;=C26,E6,"-")</f>
        <v>4000</v>
      </c>
      <c r="J26" s="42">
        <f t="shared" ref="J26:J57" ca="1" si="1">IF($E$7=C26,I26,IF($E$7&gt;=C26,L26-K26,"-"))</f>
        <v>98.070000000000007</v>
      </c>
      <c r="K26" s="42">
        <f t="shared" ref="K26:K57" ca="1" si="2">IF($E$7=C26,ROUND(I26*((1+$E$8)^(F26/360)-1),2),IF($E$7&gt;=C26,ROUND(I26*((1+$E$8)^(F26/360)-1),2),"-"))</f>
        <v>28.52</v>
      </c>
      <c r="L26" s="42">
        <f t="shared" ref="L26:L57" ca="1" si="3">IF($E$7&gt;C26,ROUND($E$6/$H$98,2),IF($E$7=C26,J26+K26,"-"))</f>
        <v>126.59</v>
      </c>
      <c r="M26" s="43">
        <f t="shared" ref="M26:M57" ca="1" si="4">IF($E$7&gt;=C26,I26-J26,"-")</f>
        <v>3901.93</v>
      </c>
      <c r="N26" s="44">
        <f ca="1">J26</f>
        <v>98.070000000000007</v>
      </c>
      <c r="O26" s="45">
        <f ca="1">IF($E$7&gt;=C26,(IF((N26&lt;=0),1,((SUM($J$26:J26)-(SUM($O$25:O25)))))),"-")</f>
        <v>98.070000000000007</v>
      </c>
      <c r="P26" s="42">
        <f t="shared" ref="P26:P57" ca="1" si="5">IF($E$7&gt;=C26,(Q26-O26),"-")</f>
        <v>28.519999999999996</v>
      </c>
      <c r="Q26" s="46">
        <f ca="1">IF($E$7&gt;=C26,(VALUE(L26)),"-")</f>
        <v>126.59</v>
      </c>
      <c r="R26" s="47"/>
      <c r="S26" s="46">
        <f t="shared" ref="S26:S57" si="6">IF($E$7&gt;=C26,(IF(IF(I26=0,0,$AA$21*I26)&gt;=$AA$20,$AA$20,IF(I26=0,0,$AA$21*I26))),"-")</f>
        <v>14</v>
      </c>
      <c r="T26" s="47"/>
      <c r="U26" s="47">
        <f ca="1">+IF($E$7&gt;=C26,+Q26+S26,"-")</f>
        <v>140.59</v>
      </c>
      <c r="V26" s="47"/>
      <c r="W26" s="47"/>
      <c r="X26" s="47"/>
      <c r="Y26" s="47"/>
      <c r="Z26" s="47"/>
      <c r="AA26" s="31">
        <v>1</v>
      </c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27"/>
      <c r="BA26" s="27">
        <f ca="1">IF(E7&gt;=C26,Q19,"-")</f>
        <v>45916</v>
      </c>
      <c r="BC26" s="26">
        <f ca="1">YEAR(BA26)</f>
        <v>2025</v>
      </c>
      <c r="BD26" s="26">
        <f ca="1">MONTH(BA26)</f>
        <v>9</v>
      </c>
      <c r="BE26" s="26">
        <f ca="1">DAY(BA26)</f>
        <v>16</v>
      </c>
      <c r="BF26" s="27" t="str">
        <f ca="1">TEXT(VALUE(CONCATENATE(BE26,"/",BD26,"/",BC26)),"dddd")</f>
        <v>martes</v>
      </c>
      <c r="BG26" s="27">
        <f ca="1">+VALUE(CONCATENATE(BE26,"/",BD26,"/",BC26))</f>
        <v>45916</v>
      </c>
      <c r="BI26" s="27">
        <f ca="1">IF(E7&gt;=C26,Q21,"-")</f>
        <v>45931</v>
      </c>
      <c r="BK26" s="26">
        <f ca="1">YEAR(BI26)</f>
        <v>2025</v>
      </c>
      <c r="BL26" s="26">
        <f ca="1">MONTH(BI26)</f>
        <v>10</v>
      </c>
      <c r="BM26" s="26">
        <f ca="1">DAY(BI26)</f>
        <v>1</v>
      </c>
      <c r="BN26" s="26" t="str">
        <f ca="1">TEXT(VALUE(CONCATENATE(BK26,"/",BL26,"/",BM26)),"dddd")</f>
        <v>miércoles</v>
      </c>
      <c r="BO26" s="27">
        <f t="shared" ref="BO26:BO57" ca="1" si="7">IF(C26&lt;=$E$7,VALUE(CONCATENATE(BM26,"/",BL26,"/",BK26)),"-")</f>
        <v>45931</v>
      </c>
    </row>
    <row r="27" spans="1:67" s="26" customFormat="1" ht="12">
      <c r="C27" s="38">
        <v>2</v>
      </c>
      <c r="D27" s="39">
        <f t="shared" ref="D27:D58" ca="1" si="8">IF(TEXT(IF($E$7&gt;=C27,VALUE(CONCATENATE(BE27,"/",BD27,"/",BC27)),"-"),"dddd")="sábado",IF($E$7&gt;=C27,VALUE(CONCATENATE(BE27,"/",BD27,"/",BC27)),"-")-1,IF($E$7&gt;=C27,VALUE(CONCATENATE(BE27,"/",BD27,"/",BC27)),"-"))</f>
        <v>45946</v>
      </c>
      <c r="E27" s="81">
        <f t="shared" ca="1" si="0"/>
        <v>45962</v>
      </c>
      <c r="F27" s="77">
        <f t="shared" ref="F27:F58" ca="1" si="9">IF($E$7&gt;=C27,E27-E26,"-")</f>
        <v>31</v>
      </c>
      <c r="G27" s="40">
        <f t="shared" ref="G27:G58" ca="1" si="10">IF($E$7&gt;=C27,G26+F27,"-")</f>
        <v>61</v>
      </c>
      <c r="H27" s="41">
        <f t="shared" ref="H27:H57" ca="1" si="11">IF($E$7&gt;=C27,ROUND(1/((1+$E$8)^(G27/360)),9),"-")</f>
        <v>0.98565704799999998</v>
      </c>
      <c r="I27" s="42">
        <f t="shared" ref="I27:I58" ca="1" si="12">IF($E$7&gt;=C27,M26,"-")</f>
        <v>3901.93</v>
      </c>
      <c r="J27" s="42">
        <f t="shared" ca="1" si="1"/>
        <v>97.84</v>
      </c>
      <c r="K27" s="42">
        <f t="shared" ca="1" si="2"/>
        <v>28.75</v>
      </c>
      <c r="L27" s="42">
        <f t="shared" ca="1" si="3"/>
        <v>126.59</v>
      </c>
      <c r="M27" s="43">
        <f t="shared" ca="1" si="4"/>
        <v>3804.0899999999997</v>
      </c>
      <c r="N27" s="48">
        <f ca="1">Q27-(K27+(J26*-1)+1)</f>
        <v>194.91000000000003</v>
      </c>
      <c r="O27" s="45">
        <f ca="1">IF($E$7&gt;=C27,(IF((N27&lt;=0),1,((SUM($J$26:J27)-(SUM($O$25:O26)))))),"-")</f>
        <v>97.840000000000018</v>
      </c>
      <c r="P27" s="42">
        <f t="shared" ca="1" si="5"/>
        <v>28.749999999999986</v>
      </c>
      <c r="Q27" s="46">
        <f t="shared" ref="Q27:Q57" ca="1" si="13">IF($E$7&gt;=C27,(VALUE(L27)),"-")</f>
        <v>126.59</v>
      </c>
      <c r="R27" s="47"/>
      <c r="S27" s="46">
        <f t="shared" ca="1" si="6"/>
        <v>13.656755</v>
      </c>
      <c r="T27" s="47"/>
      <c r="U27" s="47">
        <f t="shared" ref="U27:U85" ca="1" si="14">+IF($E$7&gt;=C27,+Q27+S27,"-")</f>
        <v>140.24675500000001</v>
      </c>
      <c r="V27" s="47"/>
      <c r="W27" s="47"/>
      <c r="X27" s="47"/>
      <c r="Y27" s="47"/>
      <c r="Z27" s="47"/>
      <c r="AA27" s="31">
        <v>2</v>
      </c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27"/>
      <c r="BA27" s="27">
        <f t="shared" ref="BA27:BA58" ca="1" si="15">IF(TEXT(IF($E$7&gt;=C27,VALUE(CONCATENATE(BE27,"/",BD27,"/",BC27)),"-"),"dddd")="sábado",IF($E$7&gt;=C27,VALUE(CONCATENATE(BE27,"/",BD27,"/",BC27)),"-")-1,IF($E$7&gt;=C27,VALUE(CONCATENATE(BE27,"/",BD27,"/",BC27)),"-"))</f>
        <v>45946</v>
      </c>
      <c r="BC27" s="26">
        <f t="shared" ref="BC27:BC61" ca="1" si="16">IF(VALUE(BD26)=12,TEXT(VALUE(BC26)+1,"0000"),BC26)</f>
        <v>2025</v>
      </c>
      <c r="BD27" s="26" t="str">
        <f t="shared" ref="BD27:BD61" ca="1" si="17">IF(VALUE(BD26)=12,"01",TEXT(VALUE(BD26)+1,"00"))</f>
        <v>10</v>
      </c>
      <c r="BE27" s="26">
        <f t="shared" ref="BE27:BE61" ca="1" si="18">BE26</f>
        <v>16</v>
      </c>
      <c r="BF27" s="27" t="str">
        <f t="shared" ref="BF27:BF73" ca="1" si="19">TEXT(VALUE(CONCATENATE(BE27,"/",BD27,"/",BC27)),"dddd")</f>
        <v>jueves</v>
      </c>
      <c r="BG27" s="27">
        <f t="shared" ref="BG27:BG73" ca="1" si="20">+VALUE(CONCATENATE(BE27,"/",BD27,"/",BC27))</f>
        <v>45946</v>
      </c>
      <c r="BK27" s="26">
        <f ca="1">IF(VALUE(BL26)=12,TEXT(VALUE(BK26)+1,"0000"),BK26)</f>
        <v>2025</v>
      </c>
      <c r="BL27" s="26" t="str">
        <f ca="1">IF(VALUE(BL26)=12,"01",TEXT(VALUE(BL26)+1,"00"))</f>
        <v>11</v>
      </c>
      <c r="BM27" s="26">
        <f ca="1">+BM26</f>
        <v>1</v>
      </c>
      <c r="BN27" s="26" t="str">
        <f t="shared" ref="BN27:BN90" ca="1" si="21">TEXT(VALUE(CONCATENATE(BK27,"/",BL27,"/",BM27)),"dddd")</f>
        <v>sábado</v>
      </c>
      <c r="BO27" s="27">
        <f t="shared" ca="1" si="7"/>
        <v>45962</v>
      </c>
    </row>
    <row r="28" spans="1:67" s="26" customFormat="1" ht="12">
      <c r="C28" s="38">
        <v>3</v>
      </c>
      <c r="D28" s="39">
        <f t="shared" ca="1" si="8"/>
        <v>45977</v>
      </c>
      <c r="E28" s="81">
        <f t="shared" ca="1" si="0"/>
        <v>45992</v>
      </c>
      <c r="F28" s="77">
        <f t="shared" ca="1" si="9"/>
        <v>30</v>
      </c>
      <c r="G28" s="40">
        <f t="shared" ca="1" si="10"/>
        <v>91</v>
      </c>
      <c r="H28" s="41">
        <f t="shared" ca="1" si="11"/>
        <v>0.97867878699999999</v>
      </c>
      <c r="I28" s="42">
        <f t="shared" ca="1" si="12"/>
        <v>3804.0899999999997</v>
      </c>
      <c r="J28" s="42">
        <f t="shared" ca="1" si="1"/>
        <v>99.47</v>
      </c>
      <c r="K28" s="42">
        <f t="shared" ca="1" si="2"/>
        <v>27.12</v>
      </c>
      <c r="L28" s="42">
        <f t="shared" ca="1" si="3"/>
        <v>126.59</v>
      </c>
      <c r="M28" s="43">
        <f t="shared" ca="1" si="4"/>
        <v>3704.62</v>
      </c>
      <c r="N28" s="48">
        <f ca="1">IF($E$7&gt;=C28,(IF(((Q28-(K28+(J27 * -1)+1))&lt;=0),1,((SUM(J$26:$J28)-(SUM($O$25:$O$27)))))),"-")</f>
        <v>99.46999999999997</v>
      </c>
      <c r="O28" s="45">
        <f ca="1">IF($E$7&gt;=C28,(IF((N28&lt;=0),1,((SUM($J$26:J28)-(SUM($O$25:O27)))))),"-")</f>
        <v>99.46999999999997</v>
      </c>
      <c r="P28" s="42">
        <f t="shared" ca="1" si="5"/>
        <v>27.120000000000033</v>
      </c>
      <c r="Q28" s="46">
        <f t="shared" ca="1" si="13"/>
        <v>126.59</v>
      </c>
      <c r="R28" s="47"/>
      <c r="S28" s="46">
        <f t="shared" ca="1" si="6"/>
        <v>13.314314999999999</v>
      </c>
      <c r="T28" s="47"/>
      <c r="U28" s="47">
        <f t="shared" ca="1" si="14"/>
        <v>139.904315</v>
      </c>
      <c r="V28" s="47"/>
      <c r="W28" s="47"/>
      <c r="X28" s="47"/>
      <c r="Y28" s="47"/>
      <c r="Z28" s="47"/>
      <c r="AA28" s="31">
        <v>3</v>
      </c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27"/>
      <c r="BA28" s="27">
        <f t="shared" ca="1" si="15"/>
        <v>45977</v>
      </c>
      <c r="BC28" s="26">
        <f t="shared" ca="1" si="16"/>
        <v>2025</v>
      </c>
      <c r="BD28" s="26" t="str">
        <f t="shared" ca="1" si="17"/>
        <v>11</v>
      </c>
      <c r="BE28" s="26">
        <f t="shared" ca="1" si="18"/>
        <v>16</v>
      </c>
      <c r="BF28" s="27" t="str">
        <f t="shared" ca="1" si="19"/>
        <v>domingo</v>
      </c>
      <c r="BG28" s="27">
        <f t="shared" ca="1" si="20"/>
        <v>45977</v>
      </c>
      <c r="BK28" s="26">
        <f t="shared" ref="BK28:BK91" ca="1" si="22">IF(VALUE(BL27)=12,TEXT(VALUE(BK27)+1,"0000"),BK27)</f>
        <v>2025</v>
      </c>
      <c r="BL28" s="26" t="str">
        <f t="shared" ref="BL28:BL32" ca="1" si="23">IF(VALUE(BL27)=12,"01",TEXT(VALUE(BL27)+1,"00"))</f>
        <v>12</v>
      </c>
      <c r="BM28" s="26">
        <f t="shared" ref="BM28:BM91" ca="1" si="24">+BM27</f>
        <v>1</v>
      </c>
      <c r="BN28" s="26" t="str">
        <f t="shared" ca="1" si="21"/>
        <v>lunes</v>
      </c>
      <c r="BO28" s="27">
        <f t="shared" ca="1" si="7"/>
        <v>45992</v>
      </c>
    </row>
    <row r="29" spans="1:67" s="26" customFormat="1" ht="12">
      <c r="C29" s="38">
        <v>4</v>
      </c>
      <c r="D29" s="39">
        <f t="shared" ca="1" si="8"/>
        <v>46007</v>
      </c>
      <c r="E29" s="81">
        <f t="shared" ca="1" si="0"/>
        <v>46023</v>
      </c>
      <c r="F29" s="77">
        <f t="shared" ca="1" si="9"/>
        <v>31</v>
      </c>
      <c r="G29" s="40">
        <f t="shared" ca="1" si="10"/>
        <v>122</v>
      </c>
      <c r="H29" s="41">
        <f t="shared" ca="1" si="11"/>
        <v>0.97151981499999995</v>
      </c>
      <c r="I29" s="42">
        <f t="shared" ca="1" si="12"/>
        <v>3704.62</v>
      </c>
      <c r="J29" s="42">
        <f t="shared" ca="1" si="1"/>
        <v>99.29</v>
      </c>
      <c r="K29" s="42">
        <f t="shared" ca="1" si="2"/>
        <v>27.3</v>
      </c>
      <c r="L29" s="42">
        <f t="shared" ca="1" si="3"/>
        <v>126.59</v>
      </c>
      <c r="M29" s="43">
        <f t="shared" ca="1" si="4"/>
        <v>3605.33</v>
      </c>
      <c r="N29" s="48">
        <f ca="1">IF($E$7&gt;=C29,(IF(((Q29-(K29+(J28 * -1)+1))&lt;=0),1,((SUM(J$26:$J29)-(SUM($O$25:$O$27)))))),"-")</f>
        <v>198.76</v>
      </c>
      <c r="O29" s="45">
        <f ca="1">IF($E$7&gt;=C29,(IF((N29&lt;=0),1,((SUM($J$26:J29)-(SUM($O$25:O28)))))),"-")</f>
        <v>99.29000000000002</v>
      </c>
      <c r="P29" s="42">
        <f t="shared" ca="1" si="5"/>
        <v>27.299999999999983</v>
      </c>
      <c r="Q29" s="46">
        <f t="shared" ca="1" si="13"/>
        <v>126.59</v>
      </c>
      <c r="R29" s="47"/>
      <c r="S29" s="46">
        <f t="shared" ca="1" si="6"/>
        <v>12.96617</v>
      </c>
      <c r="T29" s="47"/>
      <c r="U29" s="47">
        <f t="shared" ca="1" si="14"/>
        <v>139.55617000000001</v>
      </c>
      <c r="V29" s="47"/>
      <c r="W29" s="47"/>
      <c r="X29" s="47"/>
      <c r="Y29" s="47"/>
      <c r="Z29" s="47"/>
      <c r="AA29" s="31">
        <v>4</v>
      </c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BA29" s="27">
        <f t="shared" ca="1" si="15"/>
        <v>46007</v>
      </c>
      <c r="BC29" s="26">
        <f t="shared" ca="1" si="16"/>
        <v>2025</v>
      </c>
      <c r="BD29" s="26" t="str">
        <f t="shared" ca="1" si="17"/>
        <v>12</v>
      </c>
      <c r="BE29" s="26">
        <f t="shared" ca="1" si="18"/>
        <v>16</v>
      </c>
      <c r="BF29" s="27" t="str">
        <f t="shared" ca="1" si="19"/>
        <v>martes</v>
      </c>
      <c r="BG29" s="27">
        <f t="shared" ca="1" si="20"/>
        <v>46007</v>
      </c>
      <c r="BK29" s="26" t="str">
        <f t="shared" ca="1" si="22"/>
        <v>2026</v>
      </c>
      <c r="BL29" s="26" t="str">
        <f t="shared" ca="1" si="23"/>
        <v>01</v>
      </c>
      <c r="BM29" s="26">
        <f t="shared" ca="1" si="24"/>
        <v>1</v>
      </c>
      <c r="BN29" s="26" t="str">
        <f t="shared" ca="1" si="21"/>
        <v>jueves</v>
      </c>
      <c r="BO29" s="27">
        <f t="shared" ca="1" si="7"/>
        <v>46023</v>
      </c>
    </row>
    <row r="30" spans="1:67" s="26" customFormat="1" ht="12">
      <c r="C30" s="38">
        <v>5</v>
      </c>
      <c r="D30" s="39">
        <f t="shared" ca="1" si="8"/>
        <v>46038</v>
      </c>
      <c r="E30" s="81">
        <f t="shared" ca="1" si="0"/>
        <v>46054</v>
      </c>
      <c r="F30" s="77">
        <f t="shared" ca="1" si="9"/>
        <v>31</v>
      </c>
      <c r="G30" s="40">
        <f t="shared" ca="1" si="10"/>
        <v>153</v>
      </c>
      <c r="H30" s="41">
        <f t="shared" ca="1" si="11"/>
        <v>0.96441321099999999</v>
      </c>
      <c r="I30" s="42">
        <f t="shared" ca="1" si="12"/>
        <v>3605.33</v>
      </c>
      <c r="J30" s="42">
        <f t="shared" ca="1" si="1"/>
        <v>100.02000000000001</v>
      </c>
      <c r="K30" s="42">
        <f t="shared" ca="1" si="2"/>
        <v>26.57</v>
      </c>
      <c r="L30" s="42">
        <f t="shared" ca="1" si="3"/>
        <v>126.59</v>
      </c>
      <c r="M30" s="43">
        <f t="shared" ca="1" si="4"/>
        <v>3505.31</v>
      </c>
      <c r="N30" s="48">
        <f ca="1">IF($E$7&gt;=C30,(IF(((Q30-(K30+(J29 * -1)+1))&lt;=0),1,((SUM(J$26:$J30)-(SUM($O$25:$O$27)))))),"-")</f>
        <v>298.78000000000003</v>
      </c>
      <c r="O30" s="45">
        <f ca="1">IF($E$7&gt;=C30,(IF((N30&lt;=0),1,((SUM($J$26:J30)-(SUM($O$25:O29)))))),"-")</f>
        <v>100.02000000000004</v>
      </c>
      <c r="P30" s="42">
        <f t="shared" ca="1" si="5"/>
        <v>26.569999999999965</v>
      </c>
      <c r="Q30" s="46">
        <f t="shared" ca="1" si="13"/>
        <v>126.59</v>
      </c>
      <c r="R30" s="47"/>
      <c r="S30" s="46">
        <f t="shared" ca="1" si="6"/>
        <v>12.618655</v>
      </c>
      <c r="T30" s="47"/>
      <c r="U30" s="47">
        <f t="shared" ca="1" si="14"/>
        <v>139.20865499999999</v>
      </c>
      <c r="V30" s="47"/>
      <c r="W30" s="47"/>
      <c r="X30" s="47"/>
      <c r="Y30" s="47"/>
      <c r="Z30" s="47"/>
      <c r="AA30" s="31">
        <v>5</v>
      </c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BA30" s="27">
        <f t="shared" ca="1" si="15"/>
        <v>46038</v>
      </c>
      <c r="BC30" s="26" t="str">
        <f t="shared" ca="1" si="16"/>
        <v>2026</v>
      </c>
      <c r="BD30" s="26" t="str">
        <f t="shared" ca="1" si="17"/>
        <v>01</v>
      </c>
      <c r="BE30" s="26">
        <f t="shared" ca="1" si="18"/>
        <v>16</v>
      </c>
      <c r="BF30" s="27" t="str">
        <f t="shared" ca="1" si="19"/>
        <v>viernes</v>
      </c>
      <c r="BG30" s="27">
        <f t="shared" ca="1" si="20"/>
        <v>46038</v>
      </c>
      <c r="BK30" s="26" t="str">
        <f t="shared" ca="1" si="22"/>
        <v>2026</v>
      </c>
      <c r="BL30" s="26" t="str">
        <f t="shared" ca="1" si="23"/>
        <v>02</v>
      </c>
      <c r="BM30" s="26">
        <f t="shared" ca="1" si="24"/>
        <v>1</v>
      </c>
      <c r="BN30" s="26" t="str">
        <f t="shared" ca="1" si="21"/>
        <v>domingo</v>
      </c>
      <c r="BO30" s="27">
        <f t="shared" ca="1" si="7"/>
        <v>46054</v>
      </c>
    </row>
    <row r="31" spans="1:67" s="26" customFormat="1" ht="12">
      <c r="C31" s="38">
        <v>6</v>
      </c>
      <c r="D31" s="39">
        <f t="shared" ca="1" si="8"/>
        <v>46069</v>
      </c>
      <c r="E31" s="81">
        <f t="shared" ca="1" si="0"/>
        <v>46082</v>
      </c>
      <c r="F31" s="77">
        <f t="shared" ca="1" si="9"/>
        <v>28</v>
      </c>
      <c r="G31" s="40">
        <f t="shared" ca="1" si="10"/>
        <v>181</v>
      </c>
      <c r="H31" s="41">
        <f t="shared" ca="1" si="11"/>
        <v>0.95803903599999995</v>
      </c>
      <c r="I31" s="42">
        <f t="shared" ca="1" si="12"/>
        <v>3505.31</v>
      </c>
      <c r="J31" s="42">
        <f t="shared" ca="1" si="1"/>
        <v>103.27000000000001</v>
      </c>
      <c r="K31" s="42">
        <f t="shared" ca="1" si="2"/>
        <v>23.32</v>
      </c>
      <c r="L31" s="42">
        <f t="shared" ca="1" si="3"/>
        <v>126.59</v>
      </c>
      <c r="M31" s="43">
        <f t="shared" ca="1" si="4"/>
        <v>3402.04</v>
      </c>
      <c r="N31" s="48">
        <f ca="1">IF($E$7&gt;=C31,(IF(((Q31-(K31+(J30 * -1)+1))&lt;=0),1,((SUM(J$26:$J31)-(SUM($O$25:$O$27)))))),"-")</f>
        <v>402.05</v>
      </c>
      <c r="O31" s="45">
        <f ca="1">IF($E$7&gt;=C31,(IF((N31&lt;=0),1,((SUM($J$26:J31)-(SUM($O$25:O30)))))),"-")</f>
        <v>103.26999999999998</v>
      </c>
      <c r="P31" s="42">
        <f t="shared" ca="1" si="5"/>
        <v>23.320000000000022</v>
      </c>
      <c r="Q31" s="46">
        <f t="shared" ca="1" si="13"/>
        <v>126.59</v>
      </c>
      <c r="R31" s="47"/>
      <c r="S31" s="46">
        <f t="shared" ca="1" si="6"/>
        <v>12.268585</v>
      </c>
      <c r="T31" s="47"/>
      <c r="U31" s="47">
        <f t="shared" ca="1" si="14"/>
        <v>138.85858500000001</v>
      </c>
      <c r="V31" s="47"/>
      <c r="W31" s="47"/>
      <c r="X31" s="47"/>
      <c r="Y31" s="47"/>
      <c r="Z31" s="47"/>
      <c r="AA31" s="31">
        <v>6</v>
      </c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BA31" s="27">
        <f t="shared" ca="1" si="15"/>
        <v>46069</v>
      </c>
      <c r="BC31" s="26" t="str">
        <f t="shared" ca="1" si="16"/>
        <v>2026</v>
      </c>
      <c r="BD31" s="26" t="str">
        <f t="shared" ca="1" si="17"/>
        <v>02</v>
      </c>
      <c r="BE31" s="26">
        <f t="shared" ca="1" si="18"/>
        <v>16</v>
      </c>
      <c r="BF31" s="27" t="str">
        <f t="shared" ca="1" si="19"/>
        <v>lunes</v>
      </c>
      <c r="BG31" s="27">
        <f t="shared" ca="1" si="20"/>
        <v>46069</v>
      </c>
      <c r="BK31" s="26" t="str">
        <f t="shared" ca="1" si="22"/>
        <v>2026</v>
      </c>
      <c r="BL31" s="26" t="str">
        <f t="shared" ca="1" si="23"/>
        <v>03</v>
      </c>
      <c r="BM31" s="26">
        <f t="shared" ca="1" si="24"/>
        <v>1</v>
      </c>
      <c r="BN31" s="26" t="str">
        <f t="shared" ca="1" si="21"/>
        <v>domingo</v>
      </c>
      <c r="BO31" s="27">
        <f t="shared" ca="1" si="7"/>
        <v>46082</v>
      </c>
    </row>
    <row r="32" spans="1:67" s="26" customFormat="1" ht="12">
      <c r="C32" s="38">
        <v>7</v>
      </c>
      <c r="D32" s="39">
        <f t="shared" ca="1" si="8"/>
        <v>46097</v>
      </c>
      <c r="E32" s="81">
        <f t="shared" ca="1" si="0"/>
        <v>46113</v>
      </c>
      <c r="F32" s="77">
        <f t="shared" ca="1" si="9"/>
        <v>31</v>
      </c>
      <c r="G32" s="40">
        <f t="shared" ca="1" si="10"/>
        <v>212</v>
      </c>
      <c r="H32" s="41">
        <f t="shared" ca="1" si="11"/>
        <v>0.95103104299999996</v>
      </c>
      <c r="I32" s="42">
        <f t="shared" ca="1" si="12"/>
        <v>3402.04</v>
      </c>
      <c r="J32" s="42">
        <f t="shared" ca="1" si="1"/>
        <v>101.52000000000001</v>
      </c>
      <c r="K32" s="42">
        <f t="shared" ca="1" si="2"/>
        <v>25.07</v>
      </c>
      <c r="L32" s="42">
        <f t="shared" ca="1" si="3"/>
        <v>126.59</v>
      </c>
      <c r="M32" s="43">
        <f t="shared" ca="1" si="4"/>
        <v>3300.52</v>
      </c>
      <c r="N32" s="48">
        <f ca="1">IF($E$7&gt;=C32,(IF(((Q32-(K32+(J31 * -1)+1))&lt;=0),1,((SUM(J$26:$J32)-(SUM($O$25:$O$27)))))),"-")</f>
        <v>503.57</v>
      </c>
      <c r="O32" s="45">
        <f ca="1">IF($E$7&gt;=C32,(IF((N32&lt;=0),1,((SUM($J$26:J32)-(SUM($O$25:O31)))))),"-")</f>
        <v>101.51999999999998</v>
      </c>
      <c r="P32" s="42">
        <f t="shared" ca="1" si="5"/>
        <v>25.070000000000022</v>
      </c>
      <c r="Q32" s="46">
        <f t="shared" ca="1" si="13"/>
        <v>126.59</v>
      </c>
      <c r="R32" s="47"/>
      <c r="S32" s="46">
        <f t="shared" ca="1" si="6"/>
        <v>11.90714</v>
      </c>
      <c r="T32" s="47"/>
      <c r="U32" s="47">
        <f t="shared" ca="1" si="14"/>
        <v>138.49714</v>
      </c>
      <c r="V32" s="47"/>
      <c r="W32" s="47"/>
      <c r="X32" s="47"/>
      <c r="Y32" s="47"/>
      <c r="Z32" s="47"/>
      <c r="AA32" s="31">
        <v>7</v>
      </c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BA32" s="27">
        <f t="shared" ca="1" si="15"/>
        <v>46097</v>
      </c>
      <c r="BC32" s="26" t="str">
        <f t="shared" ca="1" si="16"/>
        <v>2026</v>
      </c>
      <c r="BD32" s="26" t="str">
        <f t="shared" ca="1" si="17"/>
        <v>03</v>
      </c>
      <c r="BE32" s="26">
        <f t="shared" ca="1" si="18"/>
        <v>16</v>
      </c>
      <c r="BF32" s="27" t="str">
        <f t="shared" ca="1" si="19"/>
        <v>lunes</v>
      </c>
      <c r="BG32" s="27">
        <f t="shared" ca="1" si="20"/>
        <v>46097</v>
      </c>
      <c r="BK32" s="26" t="str">
        <f t="shared" ca="1" si="22"/>
        <v>2026</v>
      </c>
      <c r="BL32" s="26" t="str">
        <f t="shared" ca="1" si="23"/>
        <v>04</v>
      </c>
      <c r="BM32" s="26">
        <f t="shared" ca="1" si="24"/>
        <v>1</v>
      </c>
      <c r="BN32" s="26" t="str">
        <f t="shared" ca="1" si="21"/>
        <v>miércoles</v>
      </c>
      <c r="BO32" s="27">
        <f t="shared" ca="1" si="7"/>
        <v>46113</v>
      </c>
    </row>
    <row r="33" spans="3:67" s="26" customFormat="1" ht="12">
      <c r="C33" s="38">
        <v>8</v>
      </c>
      <c r="D33" s="39">
        <f t="shared" ca="1" si="8"/>
        <v>46128</v>
      </c>
      <c r="E33" s="81">
        <f t="shared" ca="1" si="0"/>
        <v>46143</v>
      </c>
      <c r="F33" s="77">
        <f t="shared" ca="1" si="9"/>
        <v>30</v>
      </c>
      <c r="G33" s="40">
        <f t="shared" ca="1" si="10"/>
        <v>242</v>
      </c>
      <c r="H33" s="41">
        <f t="shared" ca="1" si="11"/>
        <v>0.94429792700000004</v>
      </c>
      <c r="I33" s="42">
        <f t="shared" ca="1" si="12"/>
        <v>3300.52</v>
      </c>
      <c r="J33" s="42">
        <f t="shared" ca="1" si="1"/>
        <v>103.06</v>
      </c>
      <c r="K33" s="42">
        <f t="shared" ca="1" si="2"/>
        <v>23.53</v>
      </c>
      <c r="L33" s="42">
        <f t="shared" ca="1" si="3"/>
        <v>126.59</v>
      </c>
      <c r="M33" s="43">
        <f t="shared" ca="1" si="4"/>
        <v>3197.46</v>
      </c>
      <c r="N33" s="48">
        <f ca="1">IF($E$7&gt;=C33,(IF(((Q33-(K33+(J32 * -1)+1))&lt;=0),1,((SUM(J$26:$J33)-(SUM($O$25:$O$27)))))),"-")</f>
        <v>606.62999999999988</v>
      </c>
      <c r="O33" s="45">
        <f ca="1">IF($E$7&gt;=C33,(IF((N33&lt;=0),1,((SUM($J$26:J33)-(SUM($O$25:O32)))))),"-")</f>
        <v>103.05999999999995</v>
      </c>
      <c r="P33" s="42">
        <f t="shared" ca="1" si="5"/>
        <v>23.530000000000058</v>
      </c>
      <c r="Q33" s="46">
        <f t="shared" ca="1" si="13"/>
        <v>126.59</v>
      </c>
      <c r="R33" s="47"/>
      <c r="S33" s="46">
        <f t="shared" ca="1" si="6"/>
        <v>11.551819999999999</v>
      </c>
      <c r="T33" s="47"/>
      <c r="U33" s="47">
        <f t="shared" ca="1" si="14"/>
        <v>138.14182</v>
      </c>
      <c r="V33" s="47"/>
      <c r="W33" s="47"/>
      <c r="X33" s="47"/>
      <c r="Y33" s="47"/>
      <c r="Z33" s="47"/>
      <c r="AA33" s="31">
        <v>8</v>
      </c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BA33" s="27">
        <f t="shared" ca="1" si="15"/>
        <v>46128</v>
      </c>
      <c r="BC33" s="26" t="str">
        <f t="shared" ca="1" si="16"/>
        <v>2026</v>
      </c>
      <c r="BD33" s="26" t="str">
        <f t="shared" ca="1" si="17"/>
        <v>04</v>
      </c>
      <c r="BE33" s="26">
        <f t="shared" ca="1" si="18"/>
        <v>16</v>
      </c>
      <c r="BF33" s="27" t="str">
        <f t="shared" ca="1" si="19"/>
        <v>jueves</v>
      </c>
      <c r="BG33" s="27">
        <f t="shared" ca="1" si="20"/>
        <v>46128</v>
      </c>
      <c r="BK33" s="26" t="str">
        <f t="shared" ca="1" si="22"/>
        <v>2026</v>
      </c>
      <c r="BL33" s="26" t="str">
        <f ca="1">IF(VALUE(BL32)=12,"01",TEXT(VALUE(BL32)+1,"00"))</f>
        <v>05</v>
      </c>
      <c r="BM33" s="26">
        <f t="shared" ca="1" si="24"/>
        <v>1</v>
      </c>
      <c r="BN33" s="26" t="str">
        <f t="shared" ca="1" si="21"/>
        <v>viernes</v>
      </c>
      <c r="BO33" s="27">
        <f t="shared" ca="1" si="7"/>
        <v>46143</v>
      </c>
    </row>
    <row r="34" spans="3:67" s="26" customFormat="1" ht="12">
      <c r="C34" s="38">
        <v>9</v>
      </c>
      <c r="D34" s="39">
        <f t="shared" ca="1" si="8"/>
        <v>46157</v>
      </c>
      <c r="E34" s="81">
        <f t="shared" ca="1" si="0"/>
        <v>46174</v>
      </c>
      <c r="F34" s="77">
        <f t="shared" ca="1" si="9"/>
        <v>31</v>
      </c>
      <c r="G34" s="40">
        <f t="shared" ca="1" si="10"/>
        <v>273</v>
      </c>
      <c r="H34" s="41">
        <f t="shared" ca="1" si="11"/>
        <v>0.93739044999999999</v>
      </c>
      <c r="I34" s="42">
        <f t="shared" ca="1" si="12"/>
        <v>3197.46</v>
      </c>
      <c r="J34" s="42">
        <f t="shared" ca="1" si="1"/>
        <v>103.03</v>
      </c>
      <c r="K34" s="42">
        <f t="shared" ca="1" si="2"/>
        <v>23.56</v>
      </c>
      <c r="L34" s="42">
        <f t="shared" ca="1" si="3"/>
        <v>126.59</v>
      </c>
      <c r="M34" s="43">
        <f t="shared" ca="1" si="4"/>
        <v>3094.43</v>
      </c>
      <c r="N34" s="48">
        <f ca="1">IF($E$7&gt;=C34,(IF(((Q34-(K34+(J33 * -1)+1))&lt;=0),1,((SUM(J$26:$J34)-(SUM($O$25:$O$27)))))),"-")</f>
        <v>709.65999999999985</v>
      </c>
      <c r="O34" s="45">
        <f ca="1">IF($E$7&gt;=C34,(IF((N34&lt;=0),1,((SUM($J$26:J34)-(SUM($O$25:O33)))))),"-")</f>
        <v>103.02999999999997</v>
      </c>
      <c r="P34" s="42">
        <f t="shared" ca="1" si="5"/>
        <v>23.560000000000031</v>
      </c>
      <c r="Q34" s="46">
        <f t="shared" ca="1" si="13"/>
        <v>126.59</v>
      </c>
      <c r="R34" s="47"/>
      <c r="S34" s="46">
        <f t="shared" ca="1" si="6"/>
        <v>11.19111</v>
      </c>
      <c r="T34" s="47"/>
      <c r="U34" s="47">
        <f t="shared" ca="1" si="14"/>
        <v>137.78111000000001</v>
      </c>
      <c r="V34" s="47"/>
      <c r="W34" s="47"/>
      <c r="X34" s="47"/>
      <c r="Y34" s="47"/>
      <c r="Z34" s="47"/>
      <c r="AA34" s="31">
        <v>9</v>
      </c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BA34" s="27">
        <f t="shared" ca="1" si="15"/>
        <v>46157</v>
      </c>
      <c r="BC34" s="26" t="str">
        <f t="shared" ca="1" si="16"/>
        <v>2026</v>
      </c>
      <c r="BD34" s="26" t="str">
        <f t="shared" ca="1" si="17"/>
        <v>05</v>
      </c>
      <c r="BE34" s="26">
        <f t="shared" ca="1" si="18"/>
        <v>16</v>
      </c>
      <c r="BF34" s="27" t="str">
        <f t="shared" ca="1" si="19"/>
        <v>sábado</v>
      </c>
      <c r="BG34" s="27">
        <f t="shared" ca="1" si="20"/>
        <v>46158</v>
      </c>
      <c r="BK34" s="26" t="str">
        <f t="shared" ca="1" si="22"/>
        <v>2026</v>
      </c>
      <c r="BL34" s="26" t="str">
        <f t="shared" ref="BL34:BL97" ca="1" si="25">IF(VALUE(BL33)=12,"01",TEXT(VALUE(BL33)+1,"00"))</f>
        <v>06</v>
      </c>
      <c r="BM34" s="26">
        <f t="shared" ca="1" si="24"/>
        <v>1</v>
      </c>
      <c r="BN34" s="26" t="str">
        <f t="shared" ca="1" si="21"/>
        <v>lunes</v>
      </c>
      <c r="BO34" s="27">
        <f t="shared" ca="1" si="7"/>
        <v>46174</v>
      </c>
    </row>
    <row r="35" spans="3:67" s="26" customFormat="1" ht="12">
      <c r="C35" s="38">
        <v>10</v>
      </c>
      <c r="D35" s="39">
        <f t="shared" ca="1" si="8"/>
        <v>46189</v>
      </c>
      <c r="E35" s="81">
        <f t="shared" ca="1" si="0"/>
        <v>46204</v>
      </c>
      <c r="F35" s="77">
        <f t="shared" ca="1" si="9"/>
        <v>30</v>
      </c>
      <c r="G35" s="40">
        <f t="shared" ca="1" si="10"/>
        <v>303</v>
      </c>
      <c r="H35" s="41">
        <f t="shared" ca="1" si="11"/>
        <v>0.93075390700000005</v>
      </c>
      <c r="I35" s="42">
        <f t="shared" ca="1" si="12"/>
        <v>3094.43</v>
      </c>
      <c r="J35" s="42">
        <f t="shared" ca="1" si="1"/>
        <v>104.53</v>
      </c>
      <c r="K35" s="42">
        <f t="shared" ca="1" si="2"/>
        <v>22.06</v>
      </c>
      <c r="L35" s="42">
        <f t="shared" ca="1" si="3"/>
        <v>126.59</v>
      </c>
      <c r="M35" s="43">
        <f t="shared" ca="1" si="4"/>
        <v>2989.8999999999996</v>
      </c>
      <c r="N35" s="48">
        <f ca="1">IF($E$7&gt;=C35,(IF(((Q35-(K35+(J34 * -1)+1))&lt;=0),1,((SUM(J$26:$J35)-(SUM($O$25:$O$27)))))),"-")</f>
        <v>814.18999999999983</v>
      </c>
      <c r="O35" s="45">
        <f ca="1">IF($E$7&gt;=C35,(IF((N35&lt;=0),1,((SUM($J$26:J35)-(SUM($O$25:O34)))))),"-")</f>
        <v>104.52999999999997</v>
      </c>
      <c r="P35" s="42">
        <f t="shared" ca="1" si="5"/>
        <v>22.060000000000031</v>
      </c>
      <c r="Q35" s="46">
        <f t="shared" ca="1" si="13"/>
        <v>126.59</v>
      </c>
      <c r="R35" s="47"/>
      <c r="S35" s="46">
        <f t="shared" ca="1" si="6"/>
        <v>10.830505</v>
      </c>
      <c r="T35" s="47"/>
      <c r="U35" s="47">
        <f t="shared" ca="1" si="14"/>
        <v>137.42050499999999</v>
      </c>
      <c r="V35" s="47"/>
      <c r="W35" s="47"/>
      <c r="X35" s="47"/>
      <c r="Y35" s="47"/>
      <c r="Z35" s="47"/>
      <c r="AA35" s="31">
        <v>10</v>
      </c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9"/>
      <c r="BA35" s="27">
        <f t="shared" ca="1" si="15"/>
        <v>46189</v>
      </c>
      <c r="BC35" s="26" t="str">
        <f t="shared" ca="1" si="16"/>
        <v>2026</v>
      </c>
      <c r="BD35" s="26" t="str">
        <f t="shared" ca="1" si="17"/>
        <v>06</v>
      </c>
      <c r="BE35" s="26">
        <f t="shared" ca="1" si="18"/>
        <v>16</v>
      </c>
      <c r="BF35" s="27" t="str">
        <f t="shared" ca="1" si="19"/>
        <v>martes</v>
      </c>
      <c r="BG35" s="27">
        <f t="shared" ca="1" si="20"/>
        <v>46189</v>
      </c>
      <c r="BK35" s="26" t="str">
        <f t="shared" ca="1" si="22"/>
        <v>2026</v>
      </c>
      <c r="BL35" s="26" t="str">
        <f t="shared" ca="1" si="25"/>
        <v>07</v>
      </c>
      <c r="BM35" s="26">
        <f t="shared" ca="1" si="24"/>
        <v>1</v>
      </c>
      <c r="BN35" s="26" t="str">
        <f t="shared" ca="1" si="21"/>
        <v>miércoles</v>
      </c>
      <c r="BO35" s="27">
        <f t="shared" ca="1" si="7"/>
        <v>46204</v>
      </c>
    </row>
    <row r="36" spans="3:67" s="26" customFormat="1" ht="12">
      <c r="C36" s="38">
        <v>11</v>
      </c>
      <c r="D36" s="39">
        <f t="shared" ca="1" si="8"/>
        <v>46219</v>
      </c>
      <c r="E36" s="81">
        <f t="shared" ca="1" si="0"/>
        <v>46235</v>
      </c>
      <c r="F36" s="77">
        <f t="shared" ca="1" si="9"/>
        <v>31</v>
      </c>
      <c r="G36" s="40">
        <f t="shared" ca="1" si="10"/>
        <v>334</v>
      </c>
      <c r="H36" s="41">
        <f t="shared" ca="1" si="11"/>
        <v>0.923945503</v>
      </c>
      <c r="I36" s="42">
        <f t="shared" ca="1" si="12"/>
        <v>2989.8999999999996</v>
      </c>
      <c r="J36" s="42">
        <f t="shared" ca="1" si="1"/>
        <v>104.56</v>
      </c>
      <c r="K36" s="42">
        <f t="shared" ca="1" si="2"/>
        <v>22.03</v>
      </c>
      <c r="L36" s="42">
        <f t="shared" ca="1" si="3"/>
        <v>126.59</v>
      </c>
      <c r="M36" s="43">
        <f t="shared" ca="1" si="4"/>
        <v>2885.3399999999997</v>
      </c>
      <c r="N36" s="48">
        <f ca="1">IF($E$7&gt;=C36,(IF(((Q36-(K36+(J35 * -1)+1))&lt;=0),1,((SUM(J$26:$J36)-(SUM($O$25:$O$27)))))),"-")</f>
        <v>918.74999999999977</v>
      </c>
      <c r="O36" s="45">
        <f ca="1">IF($E$7&gt;=C36,(IF((N36&lt;=0),1,((SUM($J$26:J36)-(SUM($O$25:O35)))))),"-")</f>
        <v>104.55999999999995</v>
      </c>
      <c r="P36" s="42">
        <f t="shared" ca="1" si="5"/>
        <v>22.030000000000058</v>
      </c>
      <c r="Q36" s="46">
        <f t="shared" ca="1" si="13"/>
        <v>126.59</v>
      </c>
      <c r="R36" s="47"/>
      <c r="S36" s="46">
        <f t="shared" ca="1" si="6"/>
        <v>10.464649999999999</v>
      </c>
      <c r="T36" s="47"/>
      <c r="U36" s="47">
        <f t="shared" ca="1" si="14"/>
        <v>137.05465000000001</v>
      </c>
      <c r="V36" s="47"/>
      <c r="W36" s="47"/>
      <c r="X36" s="47"/>
      <c r="Y36" s="47"/>
      <c r="Z36" s="47"/>
      <c r="AA36" s="31">
        <v>11</v>
      </c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BA36" s="27">
        <f t="shared" ca="1" si="15"/>
        <v>46219</v>
      </c>
      <c r="BC36" s="26" t="str">
        <f t="shared" ca="1" si="16"/>
        <v>2026</v>
      </c>
      <c r="BD36" s="26" t="str">
        <f t="shared" ca="1" si="17"/>
        <v>07</v>
      </c>
      <c r="BE36" s="26">
        <f t="shared" ca="1" si="18"/>
        <v>16</v>
      </c>
      <c r="BF36" s="27" t="str">
        <f t="shared" ca="1" si="19"/>
        <v>jueves</v>
      </c>
      <c r="BG36" s="27">
        <f t="shared" ca="1" si="20"/>
        <v>46219</v>
      </c>
      <c r="BK36" s="26" t="str">
        <f t="shared" ca="1" si="22"/>
        <v>2026</v>
      </c>
      <c r="BL36" s="26" t="str">
        <f t="shared" ca="1" si="25"/>
        <v>08</v>
      </c>
      <c r="BM36" s="26">
        <f t="shared" ca="1" si="24"/>
        <v>1</v>
      </c>
      <c r="BN36" s="26" t="str">
        <f t="shared" ca="1" si="21"/>
        <v>sábado</v>
      </c>
      <c r="BO36" s="27">
        <f t="shared" ca="1" si="7"/>
        <v>46235</v>
      </c>
    </row>
    <row r="37" spans="3:67" s="26" customFormat="1" ht="12">
      <c r="C37" s="38">
        <v>12</v>
      </c>
      <c r="D37" s="39">
        <f t="shared" ca="1" si="8"/>
        <v>46250</v>
      </c>
      <c r="E37" s="81">
        <f t="shared" ca="1" si="0"/>
        <v>46266</v>
      </c>
      <c r="F37" s="77">
        <f t="shared" ca="1" si="9"/>
        <v>31</v>
      </c>
      <c r="G37" s="40">
        <f t="shared" ca="1" si="10"/>
        <v>365</v>
      </c>
      <c r="H37" s="41">
        <f t="shared" ca="1" si="11"/>
        <v>0.91718690199999997</v>
      </c>
      <c r="I37" s="42">
        <f t="shared" ca="1" si="12"/>
        <v>2885.3399999999997</v>
      </c>
      <c r="J37" s="42">
        <f t="shared" ca="1" si="1"/>
        <v>105.33</v>
      </c>
      <c r="K37" s="42">
        <f t="shared" ca="1" si="2"/>
        <v>21.26</v>
      </c>
      <c r="L37" s="42">
        <f t="shared" ca="1" si="3"/>
        <v>126.59</v>
      </c>
      <c r="M37" s="43">
        <f t="shared" ca="1" si="4"/>
        <v>2780.0099999999998</v>
      </c>
      <c r="N37" s="48">
        <f ca="1">IF($E$7&gt;=C37,(IF(((Q37-(K37+(J36 * -1)+1))&lt;=0),1,((SUM(J$26:$J37)-(SUM($O$25:$O$27)))))),"-")</f>
        <v>1024.0799999999997</v>
      </c>
      <c r="O37" s="45">
        <f ca="1">IF($E$7&gt;=C37,(IF((N37&lt;=0),1,((SUM($J$26:J37)-(SUM($O$25:O36)))))),"-")</f>
        <v>105.32999999999993</v>
      </c>
      <c r="P37" s="42">
        <f t="shared" ca="1" si="5"/>
        <v>21.260000000000076</v>
      </c>
      <c r="Q37" s="46">
        <f t="shared" ca="1" si="13"/>
        <v>126.59</v>
      </c>
      <c r="R37" s="47"/>
      <c r="S37" s="46">
        <f t="shared" ca="1" si="6"/>
        <v>10.09869</v>
      </c>
      <c r="T37" s="47"/>
      <c r="U37" s="47">
        <f t="shared" ca="1" si="14"/>
        <v>136.68869000000001</v>
      </c>
      <c r="V37" s="47"/>
      <c r="W37" s="47"/>
      <c r="X37" s="47"/>
      <c r="Y37" s="47"/>
      <c r="Z37" s="47"/>
      <c r="AA37" s="31">
        <v>12</v>
      </c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BA37" s="27">
        <f t="shared" ca="1" si="15"/>
        <v>46250</v>
      </c>
      <c r="BC37" s="26" t="str">
        <f t="shared" ca="1" si="16"/>
        <v>2026</v>
      </c>
      <c r="BD37" s="26" t="str">
        <f t="shared" ca="1" si="17"/>
        <v>08</v>
      </c>
      <c r="BE37" s="26">
        <f t="shared" ca="1" si="18"/>
        <v>16</v>
      </c>
      <c r="BF37" s="27" t="str">
        <f t="shared" ca="1" si="19"/>
        <v>domingo</v>
      </c>
      <c r="BG37" s="27">
        <f t="shared" ca="1" si="20"/>
        <v>46250</v>
      </c>
      <c r="BK37" s="26" t="str">
        <f t="shared" ca="1" si="22"/>
        <v>2026</v>
      </c>
      <c r="BL37" s="26" t="str">
        <f t="shared" ca="1" si="25"/>
        <v>09</v>
      </c>
      <c r="BM37" s="26">
        <f t="shared" ca="1" si="24"/>
        <v>1</v>
      </c>
      <c r="BN37" s="26" t="str">
        <f t="shared" ca="1" si="21"/>
        <v>martes</v>
      </c>
      <c r="BO37" s="27">
        <f t="shared" ca="1" si="7"/>
        <v>46266</v>
      </c>
    </row>
    <row r="38" spans="3:67" s="26" customFormat="1" ht="12">
      <c r="C38" s="38">
        <v>13</v>
      </c>
      <c r="D38" s="39">
        <f t="shared" ca="1" si="8"/>
        <v>46281</v>
      </c>
      <c r="E38" s="81">
        <f t="shared" ca="1" si="0"/>
        <v>46296</v>
      </c>
      <c r="F38" s="77">
        <f t="shared" ca="1" si="9"/>
        <v>30</v>
      </c>
      <c r="G38" s="40">
        <f t="shared" ca="1" si="10"/>
        <v>395</v>
      </c>
      <c r="H38" s="41">
        <f t="shared" ca="1" si="11"/>
        <v>0.91069339699999996</v>
      </c>
      <c r="I38" s="42">
        <f t="shared" ca="1" si="12"/>
        <v>2780.0099999999998</v>
      </c>
      <c r="J38" s="42">
        <f t="shared" ca="1" si="1"/>
        <v>106.77000000000001</v>
      </c>
      <c r="K38" s="42">
        <f t="shared" ca="1" si="2"/>
        <v>19.82</v>
      </c>
      <c r="L38" s="42">
        <f t="shared" ca="1" si="3"/>
        <v>126.59</v>
      </c>
      <c r="M38" s="43">
        <f t="shared" ca="1" si="4"/>
        <v>2673.24</v>
      </c>
      <c r="N38" s="48">
        <f ca="1">IF($E$7&gt;=C38,(IF(((Q38-(K38+(J37 * -1)+1))&lt;=0),1,((SUM(J$26:$J38)-(SUM($O$25:$O$27)))))),"-")</f>
        <v>1130.8499999999997</v>
      </c>
      <c r="O38" s="45">
        <f ca="1">IF($E$7&gt;=C38,(IF((N38&lt;=0),1,((SUM($J$26:J38)-(SUM($O$25:O37)))))),"-")</f>
        <v>106.76999999999998</v>
      </c>
      <c r="P38" s="42">
        <f t="shared" ca="1" si="5"/>
        <v>19.820000000000022</v>
      </c>
      <c r="Q38" s="46">
        <f t="shared" ca="1" si="13"/>
        <v>126.59</v>
      </c>
      <c r="R38" s="47"/>
      <c r="S38" s="46">
        <f t="shared" ca="1" si="6"/>
        <v>9.7300349999999991</v>
      </c>
      <c r="T38" s="47"/>
      <c r="U38" s="47">
        <f t="shared" ca="1" si="14"/>
        <v>136.32003499999999</v>
      </c>
      <c r="V38" s="47"/>
      <c r="W38" s="47"/>
      <c r="X38" s="47"/>
      <c r="Y38" s="47"/>
      <c r="Z38" s="47"/>
      <c r="AA38" s="31">
        <v>13</v>
      </c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BA38" s="27">
        <f t="shared" ca="1" si="15"/>
        <v>46281</v>
      </c>
      <c r="BC38" s="26" t="str">
        <f t="shared" ca="1" si="16"/>
        <v>2026</v>
      </c>
      <c r="BD38" s="26" t="str">
        <f t="shared" ca="1" si="17"/>
        <v>09</v>
      </c>
      <c r="BE38" s="26">
        <f t="shared" ca="1" si="18"/>
        <v>16</v>
      </c>
      <c r="BF38" s="27" t="str">
        <f t="shared" ca="1" si="19"/>
        <v>miércoles</v>
      </c>
      <c r="BG38" s="27">
        <f t="shared" ca="1" si="20"/>
        <v>46281</v>
      </c>
      <c r="BK38" s="26" t="str">
        <f t="shared" ca="1" si="22"/>
        <v>2026</v>
      </c>
      <c r="BL38" s="26" t="str">
        <f t="shared" ca="1" si="25"/>
        <v>10</v>
      </c>
      <c r="BM38" s="26">
        <f t="shared" ca="1" si="24"/>
        <v>1</v>
      </c>
      <c r="BN38" s="26" t="str">
        <f t="shared" ca="1" si="21"/>
        <v>jueves</v>
      </c>
      <c r="BO38" s="27">
        <f t="shared" ca="1" si="7"/>
        <v>46296</v>
      </c>
    </row>
    <row r="39" spans="3:67" s="26" customFormat="1" ht="12">
      <c r="C39" s="38">
        <v>14</v>
      </c>
      <c r="D39" s="39">
        <f t="shared" ca="1" si="8"/>
        <v>46311</v>
      </c>
      <c r="E39" s="81">
        <f t="shared" ca="1" si="0"/>
        <v>46327</v>
      </c>
      <c r="F39" s="77">
        <f t="shared" ca="1" si="9"/>
        <v>31</v>
      </c>
      <c r="G39" s="40">
        <f t="shared" ca="1" si="10"/>
        <v>426</v>
      </c>
      <c r="H39" s="41">
        <f t="shared" ca="1" si="11"/>
        <v>0.90403173400000003</v>
      </c>
      <c r="I39" s="42">
        <f t="shared" ca="1" si="12"/>
        <v>2673.24</v>
      </c>
      <c r="J39" s="42">
        <f t="shared" ca="1" si="1"/>
        <v>106.89</v>
      </c>
      <c r="K39" s="42">
        <f t="shared" ca="1" si="2"/>
        <v>19.7</v>
      </c>
      <c r="L39" s="42">
        <f t="shared" ca="1" si="3"/>
        <v>126.59</v>
      </c>
      <c r="M39" s="43">
        <f t="shared" ca="1" si="4"/>
        <v>2566.35</v>
      </c>
      <c r="N39" s="48">
        <f ca="1">IF($E$7&gt;=C39,(IF(((Q39-(K39+(J38 * -1)+1))&lt;=0),1,((SUM(J$26:$J39)-(SUM($O$25:$O$27)))))),"-")</f>
        <v>1237.7399999999998</v>
      </c>
      <c r="O39" s="45">
        <f ca="1">IF($E$7&gt;=C39,(IF((N39&lt;=0),1,((SUM($J$26:J39)-(SUM($O$25:O38)))))),"-")</f>
        <v>106.8900000000001</v>
      </c>
      <c r="P39" s="42">
        <f t="shared" ca="1" si="5"/>
        <v>19.699999999999903</v>
      </c>
      <c r="Q39" s="46">
        <f t="shared" ca="1" si="13"/>
        <v>126.59</v>
      </c>
      <c r="R39" s="47"/>
      <c r="S39" s="46">
        <f t="shared" ca="1" si="6"/>
        <v>9.3563399999999994</v>
      </c>
      <c r="T39" s="47"/>
      <c r="U39" s="47">
        <f t="shared" ca="1" si="14"/>
        <v>135.94633999999999</v>
      </c>
      <c r="V39" s="47"/>
      <c r="W39" s="47"/>
      <c r="X39" s="47"/>
      <c r="Y39" s="47"/>
      <c r="Z39" s="47"/>
      <c r="AA39" s="31">
        <v>14</v>
      </c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BA39" s="27">
        <f t="shared" ca="1" si="15"/>
        <v>46311</v>
      </c>
      <c r="BC39" s="26" t="str">
        <f t="shared" ca="1" si="16"/>
        <v>2026</v>
      </c>
      <c r="BD39" s="26" t="str">
        <f t="shared" ca="1" si="17"/>
        <v>10</v>
      </c>
      <c r="BE39" s="26">
        <f t="shared" ca="1" si="18"/>
        <v>16</v>
      </c>
      <c r="BF39" s="27" t="str">
        <f t="shared" ca="1" si="19"/>
        <v>viernes</v>
      </c>
      <c r="BG39" s="27">
        <f t="shared" ca="1" si="20"/>
        <v>46311</v>
      </c>
      <c r="BK39" s="26" t="str">
        <f t="shared" ca="1" si="22"/>
        <v>2026</v>
      </c>
      <c r="BL39" s="26" t="str">
        <f t="shared" ca="1" si="25"/>
        <v>11</v>
      </c>
      <c r="BM39" s="26">
        <f t="shared" ca="1" si="24"/>
        <v>1</v>
      </c>
      <c r="BN39" s="26" t="str">
        <f t="shared" ca="1" si="21"/>
        <v>domingo</v>
      </c>
      <c r="BO39" s="27">
        <f t="shared" ca="1" si="7"/>
        <v>46327</v>
      </c>
    </row>
    <row r="40" spans="3:67" s="26" customFormat="1" ht="12">
      <c r="C40" s="38">
        <v>15</v>
      </c>
      <c r="D40" s="39">
        <f t="shared" ca="1" si="8"/>
        <v>46342</v>
      </c>
      <c r="E40" s="81">
        <f t="shared" ca="1" si="0"/>
        <v>46357</v>
      </c>
      <c r="F40" s="77">
        <f t="shared" ca="1" si="9"/>
        <v>30</v>
      </c>
      <c r="G40" s="40">
        <f t="shared" ca="1" si="10"/>
        <v>456</v>
      </c>
      <c r="H40" s="41">
        <f t="shared" ca="1" si="11"/>
        <v>0.89763136399999999</v>
      </c>
      <c r="I40" s="42">
        <f t="shared" ca="1" si="12"/>
        <v>2566.35</v>
      </c>
      <c r="J40" s="42">
        <f t="shared" ca="1" si="1"/>
        <v>108.29</v>
      </c>
      <c r="K40" s="42">
        <f t="shared" ca="1" si="2"/>
        <v>18.3</v>
      </c>
      <c r="L40" s="42">
        <f t="shared" ca="1" si="3"/>
        <v>126.59</v>
      </c>
      <c r="M40" s="43">
        <f t="shared" ca="1" si="4"/>
        <v>2458.06</v>
      </c>
      <c r="N40" s="48">
        <f ca="1">IF($E$7&gt;=C40,(IF(((Q40-(K40+(J39 * -1)+1))&lt;=0),1,((SUM(J$26:$J40)-(SUM($O$25:$O$27)))))),"-")</f>
        <v>1346.0299999999997</v>
      </c>
      <c r="O40" s="45">
        <f ca="1">IF($E$7&gt;=C40,(IF((N40&lt;=0),1,((SUM($J$26:J40)-(SUM($O$25:O39)))))),"-")</f>
        <v>108.28999999999996</v>
      </c>
      <c r="P40" s="42">
        <f t="shared" ca="1" si="5"/>
        <v>18.30000000000004</v>
      </c>
      <c r="Q40" s="46">
        <f t="shared" ca="1" si="13"/>
        <v>126.59</v>
      </c>
      <c r="R40" s="47"/>
      <c r="S40" s="46">
        <f t="shared" ca="1" si="6"/>
        <v>8.9822249999999997</v>
      </c>
      <c r="T40" s="47"/>
      <c r="U40" s="47">
        <f t="shared" ca="1" si="14"/>
        <v>135.572225</v>
      </c>
      <c r="V40" s="47"/>
      <c r="W40" s="47"/>
      <c r="X40" s="47"/>
      <c r="Y40" s="47"/>
      <c r="Z40" s="47"/>
      <c r="AA40" s="31">
        <v>15</v>
      </c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BA40" s="27">
        <f t="shared" ca="1" si="15"/>
        <v>46342</v>
      </c>
      <c r="BC40" s="26" t="str">
        <f t="shared" ca="1" si="16"/>
        <v>2026</v>
      </c>
      <c r="BD40" s="26" t="str">
        <f t="shared" ca="1" si="17"/>
        <v>11</v>
      </c>
      <c r="BE40" s="26">
        <f t="shared" ca="1" si="18"/>
        <v>16</v>
      </c>
      <c r="BF40" s="27" t="str">
        <f t="shared" ca="1" si="19"/>
        <v>lunes</v>
      </c>
      <c r="BG40" s="27">
        <f t="shared" ca="1" si="20"/>
        <v>46342</v>
      </c>
      <c r="BK40" s="26" t="str">
        <f t="shared" ca="1" si="22"/>
        <v>2026</v>
      </c>
      <c r="BL40" s="26" t="str">
        <f t="shared" ca="1" si="25"/>
        <v>12</v>
      </c>
      <c r="BM40" s="26">
        <f t="shared" ca="1" si="24"/>
        <v>1</v>
      </c>
      <c r="BN40" s="26" t="str">
        <f t="shared" ca="1" si="21"/>
        <v>martes</v>
      </c>
      <c r="BO40" s="27">
        <f t="shared" ca="1" si="7"/>
        <v>46357</v>
      </c>
    </row>
    <row r="41" spans="3:67" s="26" customFormat="1" ht="12">
      <c r="C41" s="38">
        <v>16</v>
      </c>
      <c r="D41" s="39">
        <f t="shared" ca="1" si="8"/>
        <v>46372</v>
      </c>
      <c r="E41" s="81">
        <f t="shared" ca="1" si="0"/>
        <v>46388</v>
      </c>
      <c r="F41" s="77">
        <f t="shared" ca="1" si="9"/>
        <v>31</v>
      </c>
      <c r="G41" s="40">
        <f t="shared" ca="1" si="10"/>
        <v>487</v>
      </c>
      <c r="H41" s="41">
        <f t="shared" ca="1" si="11"/>
        <v>0.89106525000000003</v>
      </c>
      <c r="I41" s="42">
        <f t="shared" ca="1" si="12"/>
        <v>2458.06</v>
      </c>
      <c r="J41" s="42">
        <f t="shared" ca="1" si="1"/>
        <v>108.48</v>
      </c>
      <c r="K41" s="42">
        <f t="shared" ca="1" si="2"/>
        <v>18.11</v>
      </c>
      <c r="L41" s="42">
        <f t="shared" ca="1" si="3"/>
        <v>126.59</v>
      </c>
      <c r="M41" s="43">
        <f t="shared" ca="1" si="4"/>
        <v>2349.58</v>
      </c>
      <c r="N41" s="48">
        <f ca="1">IF($E$7&gt;=C41,(IF(((Q41-(K41+(J40 * -1)+1))&lt;=0),1,((SUM(J$26:$J41)-(SUM($O$25:$O$27)))))),"-")</f>
        <v>1454.5099999999998</v>
      </c>
      <c r="O41" s="45">
        <f ca="1">IF($E$7&gt;=C41,(IF((N41&lt;=0),1,((SUM($J$26:J41)-(SUM($O$25:O40)))))),"-")</f>
        <v>108.48000000000002</v>
      </c>
      <c r="P41" s="42">
        <f t="shared" ca="1" si="5"/>
        <v>18.109999999999985</v>
      </c>
      <c r="Q41" s="46">
        <f t="shared" ca="1" si="13"/>
        <v>126.59</v>
      </c>
      <c r="R41" s="47"/>
      <c r="S41" s="46">
        <f t="shared" ca="1" si="6"/>
        <v>8.6032100000000007</v>
      </c>
      <c r="T41" s="47"/>
      <c r="U41" s="47">
        <f t="shared" ca="1" si="14"/>
        <v>135.19320999999999</v>
      </c>
      <c r="V41" s="47"/>
      <c r="W41" s="47"/>
      <c r="X41" s="47"/>
      <c r="Y41" s="47"/>
      <c r="Z41" s="47"/>
      <c r="AA41" s="31">
        <v>16</v>
      </c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BA41" s="27">
        <f t="shared" ca="1" si="15"/>
        <v>46372</v>
      </c>
      <c r="BC41" s="26" t="str">
        <f t="shared" ca="1" si="16"/>
        <v>2026</v>
      </c>
      <c r="BD41" s="26" t="str">
        <f t="shared" ca="1" si="17"/>
        <v>12</v>
      </c>
      <c r="BE41" s="26">
        <f t="shared" ca="1" si="18"/>
        <v>16</v>
      </c>
      <c r="BF41" s="27" t="str">
        <f t="shared" ca="1" si="19"/>
        <v>miércoles</v>
      </c>
      <c r="BG41" s="27">
        <f t="shared" ca="1" si="20"/>
        <v>46372</v>
      </c>
      <c r="BK41" s="26" t="str">
        <f t="shared" ca="1" si="22"/>
        <v>2027</v>
      </c>
      <c r="BL41" s="26" t="str">
        <f t="shared" ca="1" si="25"/>
        <v>01</v>
      </c>
      <c r="BM41" s="26">
        <f t="shared" ca="1" si="24"/>
        <v>1</v>
      </c>
      <c r="BN41" s="26" t="str">
        <f t="shared" ca="1" si="21"/>
        <v>viernes</v>
      </c>
      <c r="BO41" s="27">
        <f t="shared" ca="1" si="7"/>
        <v>46388</v>
      </c>
    </row>
    <row r="42" spans="3:67" s="26" customFormat="1" ht="12">
      <c r="C42" s="38">
        <v>17</v>
      </c>
      <c r="D42" s="39">
        <f t="shared" ca="1" si="8"/>
        <v>46402</v>
      </c>
      <c r="E42" s="81">
        <f t="shared" ca="1" si="0"/>
        <v>46419</v>
      </c>
      <c r="F42" s="77">
        <f t="shared" ca="1" si="9"/>
        <v>31</v>
      </c>
      <c r="G42" s="40">
        <f t="shared" ca="1" si="10"/>
        <v>518</v>
      </c>
      <c r="H42" s="41">
        <f t="shared" ca="1" si="11"/>
        <v>0.88454716600000005</v>
      </c>
      <c r="I42" s="42">
        <f t="shared" ca="1" si="12"/>
        <v>2349.58</v>
      </c>
      <c r="J42" s="42">
        <f t="shared" ca="1" si="1"/>
        <v>109.28</v>
      </c>
      <c r="K42" s="42">
        <f t="shared" ca="1" si="2"/>
        <v>17.309999999999999</v>
      </c>
      <c r="L42" s="42">
        <f t="shared" ca="1" si="3"/>
        <v>126.59</v>
      </c>
      <c r="M42" s="43">
        <f t="shared" ca="1" si="4"/>
        <v>2240.2999999999997</v>
      </c>
      <c r="N42" s="48">
        <f ca="1">IF($E$7&gt;=C42,(IF(((Q42-(K42+(J41 * -1)+1))&lt;=0),1,((SUM(J$26:$J42)-(SUM($O$25:$O$27)))))),"-")</f>
        <v>1563.7899999999997</v>
      </c>
      <c r="O42" s="45">
        <f ca="1">IF($E$7&gt;=C42,(IF((N42&lt;=0),1,((SUM($J$26:J42)-(SUM($O$25:O41)))))),"-")</f>
        <v>109.27999999999997</v>
      </c>
      <c r="P42" s="42">
        <f t="shared" ca="1" si="5"/>
        <v>17.310000000000031</v>
      </c>
      <c r="Q42" s="46">
        <f t="shared" ca="1" si="13"/>
        <v>126.59</v>
      </c>
      <c r="R42" s="47"/>
      <c r="S42" s="46">
        <f t="shared" ca="1" si="6"/>
        <v>8.2235300000000002</v>
      </c>
      <c r="T42" s="47"/>
      <c r="U42" s="47">
        <f t="shared" ca="1" si="14"/>
        <v>134.81353000000001</v>
      </c>
      <c r="V42" s="47"/>
      <c r="W42" s="47"/>
      <c r="X42" s="47"/>
      <c r="Y42" s="47"/>
      <c r="Z42" s="47"/>
      <c r="AA42" s="31">
        <v>17</v>
      </c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BA42" s="27">
        <f t="shared" ca="1" si="15"/>
        <v>46402</v>
      </c>
      <c r="BC42" s="26" t="str">
        <f t="shared" ca="1" si="16"/>
        <v>2027</v>
      </c>
      <c r="BD42" s="26" t="str">
        <f t="shared" ca="1" si="17"/>
        <v>01</v>
      </c>
      <c r="BE42" s="26">
        <f t="shared" ca="1" si="18"/>
        <v>16</v>
      </c>
      <c r="BF42" s="27" t="str">
        <f t="shared" ca="1" si="19"/>
        <v>sábado</v>
      </c>
      <c r="BG42" s="27">
        <f t="shared" ca="1" si="20"/>
        <v>46403</v>
      </c>
      <c r="BK42" s="26" t="str">
        <f t="shared" ca="1" si="22"/>
        <v>2027</v>
      </c>
      <c r="BL42" s="26" t="str">
        <f t="shared" ca="1" si="25"/>
        <v>02</v>
      </c>
      <c r="BM42" s="26">
        <f t="shared" ca="1" si="24"/>
        <v>1</v>
      </c>
      <c r="BN42" s="26" t="str">
        <f t="shared" ca="1" si="21"/>
        <v>lunes</v>
      </c>
      <c r="BO42" s="27">
        <f t="shared" ca="1" si="7"/>
        <v>46419</v>
      </c>
    </row>
    <row r="43" spans="3:67" s="26" customFormat="1" ht="12">
      <c r="C43" s="38">
        <v>18</v>
      </c>
      <c r="D43" s="39">
        <f t="shared" ca="1" si="8"/>
        <v>46434</v>
      </c>
      <c r="E43" s="81">
        <f t="shared" ca="1" si="0"/>
        <v>46447</v>
      </c>
      <c r="F43" s="77">
        <f t="shared" ca="1" si="9"/>
        <v>28</v>
      </c>
      <c r="G43" s="40">
        <f t="shared" ca="1" si="10"/>
        <v>546</v>
      </c>
      <c r="H43" s="41">
        <f t="shared" ca="1" si="11"/>
        <v>0.87870085499999995</v>
      </c>
      <c r="I43" s="42">
        <f t="shared" ca="1" si="12"/>
        <v>2240.2999999999997</v>
      </c>
      <c r="J43" s="42">
        <f t="shared" ca="1" si="1"/>
        <v>111.68</v>
      </c>
      <c r="K43" s="42">
        <f t="shared" ca="1" si="2"/>
        <v>14.91</v>
      </c>
      <c r="L43" s="42">
        <f t="shared" ca="1" si="3"/>
        <v>126.59</v>
      </c>
      <c r="M43" s="43">
        <f t="shared" ca="1" si="4"/>
        <v>2128.62</v>
      </c>
      <c r="N43" s="48">
        <f ca="1">IF($E$7&gt;=C43,(IF(((Q43-(K43+(J42 * -1)+1))&lt;=0),1,((SUM(J$26:$J43)-(SUM($O$25:$O$27)))))),"-")</f>
        <v>1675.4699999999998</v>
      </c>
      <c r="O43" s="45">
        <f ca="1">IF($E$7&gt;=C43,(IF((N43&lt;=0),1,((SUM($J$26:J43)-(SUM($O$25:O42)))))),"-")</f>
        <v>111.68000000000006</v>
      </c>
      <c r="P43" s="42">
        <f t="shared" ca="1" si="5"/>
        <v>14.90999999999994</v>
      </c>
      <c r="Q43" s="46">
        <f t="shared" ca="1" si="13"/>
        <v>126.59</v>
      </c>
      <c r="R43" s="47"/>
      <c r="S43" s="46">
        <f t="shared" ca="1" si="6"/>
        <v>7.8410499999999992</v>
      </c>
      <c r="T43" s="47"/>
      <c r="U43" s="47">
        <f t="shared" ca="1" si="14"/>
        <v>134.43105</v>
      </c>
      <c r="V43" s="47"/>
      <c r="W43" s="47"/>
      <c r="X43" s="47"/>
      <c r="Y43" s="47"/>
      <c r="Z43" s="47"/>
      <c r="AA43" s="31">
        <v>18</v>
      </c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BA43" s="27">
        <f t="shared" ca="1" si="15"/>
        <v>46434</v>
      </c>
      <c r="BC43" s="26" t="str">
        <f t="shared" ca="1" si="16"/>
        <v>2027</v>
      </c>
      <c r="BD43" s="26" t="str">
        <f t="shared" ca="1" si="17"/>
        <v>02</v>
      </c>
      <c r="BE43" s="26">
        <f t="shared" ca="1" si="18"/>
        <v>16</v>
      </c>
      <c r="BF43" s="27" t="str">
        <f t="shared" ca="1" si="19"/>
        <v>martes</v>
      </c>
      <c r="BG43" s="27">
        <f t="shared" ca="1" si="20"/>
        <v>46434</v>
      </c>
      <c r="BK43" s="26" t="str">
        <f t="shared" ca="1" si="22"/>
        <v>2027</v>
      </c>
      <c r="BL43" s="26" t="str">
        <f t="shared" ca="1" si="25"/>
        <v>03</v>
      </c>
      <c r="BM43" s="26">
        <f t="shared" ca="1" si="24"/>
        <v>1</v>
      </c>
      <c r="BN43" s="26" t="str">
        <f t="shared" ca="1" si="21"/>
        <v>lunes</v>
      </c>
      <c r="BO43" s="27">
        <f t="shared" ca="1" si="7"/>
        <v>46447</v>
      </c>
    </row>
    <row r="44" spans="3:67" s="26" customFormat="1" ht="12">
      <c r="C44" s="38">
        <v>19</v>
      </c>
      <c r="D44" s="39">
        <f t="shared" ca="1" si="8"/>
        <v>46462</v>
      </c>
      <c r="E44" s="81">
        <f t="shared" ca="1" si="0"/>
        <v>46478</v>
      </c>
      <c r="F44" s="77">
        <f t="shared" ca="1" si="9"/>
        <v>31</v>
      </c>
      <c r="G44" s="40">
        <f t="shared" ca="1" si="10"/>
        <v>577</v>
      </c>
      <c r="H44" s="41">
        <f t="shared" ca="1" si="11"/>
        <v>0.87227321599999996</v>
      </c>
      <c r="I44" s="42">
        <f t="shared" ca="1" si="12"/>
        <v>2128.62</v>
      </c>
      <c r="J44" s="42">
        <f t="shared" ca="1" si="1"/>
        <v>110.9</v>
      </c>
      <c r="K44" s="42">
        <f t="shared" ca="1" si="2"/>
        <v>15.69</v>
      </c>
      <c r="L44" s="42">
        <f t="shared" ca="1" si="3"/>
        <v>126.59</v>
      </c>
      <c r="M44" s="43">
        <f t="shared" ca="1" si="4"/>
        <v>2017.7199999999998</v>
      </c>
      <c r="N44" s="48">
        <f ca="1">IF($E$7&gt;=C44,(IF(((Q44-(K44+(J43 * -1)+1))&lt;=0),1,((SUM(J$26:$J44)-(SUM($O$25:$O$27)))))),"-")</f>
        <v>1786.37</v>
      </c>
      <c r="O44" s="45">
        <f ca="1">IF($E$7&gt;=C44,(IF((N44&lt;=0),1,((SUM($J$26:J44)-(SUM($O$25:O43)))))),"-")</f>
        <v>110.90000000000009</v>
      </c>
      <c r="P44" s="42">
        <f t="shared" ca="1" si="5"/>
        <v>15.689999999999912</v>
      </c>
      <c r="Q44" s="46">
        <f t="shared" ca="1" si="13"/>
        <v>126.59</v>
      </c>
      <c r="R44" s="47"/>
      <c r="S44" s="46">
        <f t="shared" ca="1" si="6"/>
        <v>7.45017</v>
      </c>
      <c r="T44" s="47"/>
      <c r="U44" s="47">
        <f t="shared" ca="1" si="14"/>
        <v>134.04016999999999</v>
      </c>
      <c r="V44" s="47"/>
      <c r="W44" s="47"/>
      <c r="X44" s="47"/>
      <c r="Y44" s="47"/>
      <c r="Z44" s="47"/>
      <c r="AA44" s="31">
        <v>19</v>
      </c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BA44" s="27">
        <f t="shared" ca="1" si="15"/>
        <v>46462</v>
      </c>
      <c r="BC44" s="26" t="str">
        <f t="shared" ca="1" si="16"/>
        <v>2027</v>
      </c>
      <c r="BD44" s="26" t="str">
        <f t="shared" ca="1" si="17"/>
        <v>03</v>
      </c>
      <c r="BE44" s="26">
        <f t="shared" ca="1" si="18"/>
        <v>16</v>
      </c>
      <c r="BF44" s="27" t="str">
        <f t="shared" ca="1" si="19"/>
        <v>martes</v>
      </c>
      <c r="BG44" s="27">
        <f t="shared" ca="1" si="20"/>
        <v>46462</v>
      </c>
      <c r="BK44" s="26" t="str">
        <f t="shared" ca="1" si="22"/>
        <v>2027</v>
      </c>
      <c r="BL44" s="26" t="str">
        <f t="shared" ca="1" si="25"/>
        <v>04</v>
      </c>
      <c r="BM44" s="26">
        <f t="shared" ca="1" si="24"/>
        <v>1</v>
      </c>
      <c r="BN44" s="26" t="str">
        <f t="shared" ca="1" si="21"/>
        <v>jueves</v>
      </c>
      <c r="BO44" s="27">
        <f t="shared" ca="1" si="7"/>
        <v>46478</v>
      </c>
    </row>
    <row r="45" spans="3:67" s="26" customFormat="1" ht="12">
      <c r="C45" s="38">
        <v>20</v>
      </c>
      <c r="D45" s="39">
        <f t="shared" ca="1" si="8"/>
        <v>46493</v>
      </c>
      <c r="E45" s="81">
        <f t="shared" ca="1" si="0"/>
        <v>46508</v>
      </c>
      <c r="F45" s="77">
        <f t="shared" ca="1" si="9"/>
        <v>30</v>
      </c>
      <c r="G45" s="40">
        <f t="shared" ca="1" si="10"/>
        <v>607</v>
      </c>
      <c r="H45" s="41">
        <f t="shared" ca="1" si="11"/>
        <v>0.86609769000000003</v>
      </c>
      <c r="I45" s="42">
        <f t="shared" ca="1" si="12"/>
        <v>2017.7199999999998</v>
      </c>
      <c r="J45" s="42">
        <f t="shared" ca="1" si="1"/>
        <v>112.2</v>
      </c>
      <c r="K45" s="42">
        <f t="shared" ca="1" si="2"/>
        <v>14.39</v>
      </c>
      <c r="L45" s="42">
        <f t="shared" ca="1" si="3"/>
        <v>126.59</v>
      </c>
      <c r="M45" s="43">
        <f t="shared" ca="1" si="4"/>
        <v>1905.5199999999998</v>
      </c>
      <c r="N45" s="48">
        <f ca="1">IF($E$7&gt;=C45,(IF(((Q45-(K45+(J44 * -1)+1))&lt;=0),1,((SUM(J$26:$J45)-(SUM($O$25:$O$27)))))),"-")</f>
        <v>1898.57</v>
      </c>
      <c r="O45" s="45">
        <f ca="1">IF($E$7&gt;=C45,(IF((N45&lt;=0),1,((SUM($J$26:J45)-(SUM($O$25:O44)))))),"-")</f>
        <v>112.20000000000005</v>
      </c>
      <c r="P45" s="42">
        <f t="shared" ca="1" si="5"/>
        <v>14.389999999999958</v>
      </c>
      <c r="Q45" s="46">
        <f t="shared" ca="1" si="13"/>
        <v>126.59</v>
      </c>
      <c r="R45" s="47"/>
      <c r="S45" s="46">
        <f t="shared" ca="1" si="6"/>
        <v>7.0620199999999995</v>
      </c>
      <c r="T45" s="47"/>
      <c r="U45" s="47">
        <f t="shared" ca="1" si="14"/>
        <v>133.65201999999999</v>
      </c>
      <c r="V45" s="47"/>
      <c r="W45" s="47"/>
      <c r="X45" s="47"/>
      <c r="Y45" s="47"/>
      <c r="Z45" s="47"/>
      <c r="AA45" s="31">
        <v>20</v>
      </c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BA45" s="27">
        <f t="shared" ca="1" si="15"/>
        <v>46493</v>
      </c>
      <c r="BC45" s="26" t="str">
        <f t="shared" ca="1" si="16"/>
        <v>2027</v>
      </c>
      <c r="BD45" s="26" t="str">
        <f t="shared" ca="1" si="17"/>
        <v>04</v>
      </c>
      <c r="BE45" s="26">
        <f t="shared" ca="1" si="18"/>
        <v>16</v>
      </c>
      <c r="BF45" s="27" t="str">
        <f t="shared" ca="1" si="19"/>
        <v>viernes</v>
      </c>
      <c r="BG45" s="27">
        <f t="shared" ca="1" si="20"/>
        <v>46493</v>
      </c>
      <c r="BK45" s="26" t="str">
        <f t="shared" ca="1" si="22"/>
        <v>2027</v>
      </c>
      <c r="BL45" s="26" t="str">
        <f t="shared" ca="1" si="25"/>
        <v>05</v>
      </c>
      <c r="BM45" s="26">
        <f t="shared" ca="1" si="24"/>
        <v>1</v>
      </c>
      <c r="BN45" s="26" t="str">
        <f t="shared" ca="1" si="21"/>
        <v>sábado</v>
      </c>
      <c r="BO45" s="27">
        <f t="shared" ca="1" si="7"/>
        <v>46508</v>
      </c>
    </row>
    <row r="46" spans="3:67" s="26" customFormat="1" ht="12">
      <c r="C46" s="38">
        <v>21</v>
      </c>
      <c r="D46" s="39">
        <f t="shared" ca="1" si="8"/>
        <v>46523</v>
      </c>
      <c r="E46" s="81">
        <f t="shared" ca="1" si="0"/>
        <v>46539</v>
      </c>
      <c r="F46" s="77">
        <f t="shared" ca="1" si="9"/>
        <v>31</v>
      </c>
      <c r="G46" s="40">
        <f t="shared" ca="1" si="10"/>
        <v>638</v>
      </c>
      <c r="H46" s="41">
        <f t="shared" ca="1" si="11"/>
        <v>0.85976224300000004</v>
      </c>
      <c r="I46" s="42">
        <f t="shared" ca="1" si="12"/>
        <v>1905.5199999999998</v>
      </c>
      <c r="J46" s="42">
        <f t="shared" ca="1" si="1"/>
        <v>112.55000000000001</v>
      </c>
      <c r="K46" s="42">
        <f t="shared" ca="1" si="2"/>
        <v>14.04</v>
      </c>
      <c r="L46" s="42">
        <f t="shared" ca="1" si="3"/>
        <v>126.59</v>
      </c>
      <c r="M46" s="43">
        <f t="shared" ca="1" si="4"/>
        <v>1792.9699999999998</v>
      </c>
      <c r="N46" s="48">
        <f ca="1">IF($E$7&gt;=C46,(IF(((Q46-(K46+(J45 * -1)+1))&lt;=0),1,((SUM(J$26:$J46)-(SUM($O$25:$O$27)))))),"-")</f>
        <v>2011.1200000000001</v>
      </c>
      <c r="O46" s="45">
        <f ca="1">IF($E$7&gt;=C46,(IF((N46&lt;=0),1,((SUM($J$26:J46)-(SUM($O$25:O45)))))),"-")</f>
        <v>112.55000000000018</v>
      </c>
      <c r="P46" s="42">
        <f t="shared" ca="1" si="5"/>
        <v>14.039999999999822</v>
      </c>
      <c r="Q46" s="46">
        <f t="shared" ca="1" si="13"/>
        <v>126.59</v>
      </c>
      <c r="R46" s="47"/>
      <c r="S46" s="46">
        <f t="shared" ca="1" si="6"/>
        <v>6.669319999999999</v>
      </c>
      <c r="T46" s="47"/>
      <c r="U46" s="47">
        <f t="shared" ca="1" si="14"/>
        <v>133.25932</v>
      </c>
      <c r="V46" s="47"/>
      <c r="W46" s="47"/>
      <c r="X46" s="47"/>
      <c r="Y46" s="47"/>
      <c r="Z46" s="47"/>
      <c r="AA46" s="31">
        <v>21</v>
      </c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BA46" s="27">
        <f t="shared" ca="1" si="15"/>
        <v>46523</v>
      </c>
      <c r="BC46" s="26" t="str">
        <f t="shared" ca="1" si="16"/>
        <v>2027</v>
      </c>
      <c r="BD46" s="26" t="str">
        <f t="shared" ca="1" si="17"/>
        <v>05</v>
      </c>
      <c r="BE46" s="26">
        <f t="shared" ca="1" si="18"/>
        <v>16</v>
      </c>
      <c r="BF46" s="27" t="str">
        <f t="shared" ca="1" si="19"/>
        <v>domingo</v>
      </c>
      <c r="BG46" s="27">
        <f t="shared" ca="1" si="20"/>
        <v>46523</v>
      </c>
      <c r="BK46" s="26" t="str">
        <f t="shared" ca="1" si="22"/>
        <v>2027</v>
      </c>
      <c r="BL46" s="26" t="str">
        <f t="shared" ca="1" si="25"/>
        <v>06</v>
      </c>
      <c r="BM46" s="26">
        <f t="shared" ca="1" si="24"/>
        <v>1</v>
      </c>
      <c r="BN46" s="26" t="str">
        <f t="shared" ca="1" si="21"/>
        <v>martes</v>
      </c>
      <c r="BO46" s="27">
        <f t="shared" ca="1" si="7"/>
        <v>46539</v>
      </c>
    </row>
    <row r="47" spans="3:67" s="26" customFormat="1" ht="12">
      <c r="C47" s="38">
        <v>22</v>
      </c>
      <c r="D47" s="39">
        <f t="shared" ca="1" si="8"/>
        <v>46554</v>
      </c>
      <c r="E47" s="81">
        <f t="shared" ca="1" si="0"/>
        <v>46569</v>
      </c>
      <c r="F47" s="77">
        <f t="shared" ca="1" si="9"/>
        <v>30</v>
      </c>
      <c r="G47" s="40">
        <f t="shared" ca="1" si="10"/>
        <v>668</v>
      </c>
      <c r="H47" s="41">
        <f t="shared" ca="1" si="11"/>
        <v>0.85367529200000003</v>
      </c>
      <c r="I47" s="42">
        <f t="shared" ca="1" si="12"/>
        <v>1792.9699999999998</v>
      </c>
      <c r="J47" s="42">
        <f t="shared" ca="1" si="1"/>
        <v>113.81</v>
      </c>
      <c r="K47" s="42">
        <f t="shared" ca="1" si="2"/>
        <v>12.78</v>
      </c>
      <c r="L47" s="42">
        <f t="shared" ca="1" si="3"/>
        <v>126.59</v>
      </c>
      <c r="M47" s="43">
        <f t="shared" ca="1" si="4"/>
        <v>1679.1599999999999</v>
      </c>
      <c r="N47" s="48">
        <f ca="1">IF($E$7&gt;=C47,(IF(((Q47-(K47+(J46 * -1)+1))&lt;=0),1,((SUM(J$26:$J47)-(SUM($O$25:$O$27)))))),"-")</f>
        <v>2124.9300000000003</v>
      </c>
      <c r="O47" s="45">
        <f ca="1">IF($E$7&gt;=C47,(IF((N47&lt;=0),1,((SUM($J$26:J47)-(SUM($O$25:O46)))))),"-")</f>
        <v>113.80999999999995</v>
      </c>
      <c r="P47" s="42">
        <f t="shared" ca="1" si="5"/>
        <v>12.780000000000058</v>
      </c>
      <c r="Q47" s="46">
        <f t="shared" ca="1" si="13"/>
        <v>126.59</v>
      </c>
      <c r="R47" s="47"/>
      <c r="S47" s="46">
        <f t="shared" ca="1" si="6"/>
        <v>6.2753949999999996</v>
      </c>
      <c r="T47" s="47"/>
      <c r="U47" s="47">
        <f t="shared" ca="1" si="14"/>
        <v>132.86539500000001</v>
      </c>
      <c r="V47" s="47"/>
      <c r="W47" s="47"/>
      <c r="X47" s="47"/>
      <c r="Y47" s="47"/>
      <c r="Z47" s="47"/>
      <c r="AA47" s="31">
        <v>22</v>
      </c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BA47" s="27">
        <f t="shared" ca="1" si="15"/>
        <v>46554</v>
      </c>
      <c r="BC47" s="26" t="str">
        <f t="shared" ca="1" si="16"/>
        <v>2027</v>
      </c>
      <c r="BD47" s="26" t="str">
        <f t="shared" ca="1" si="17"/>
        <v>06</v>
      </c>
      <c r="BE47" s="26">
        <f t="shared" ca="1" si="18"/>
        <v>16</v>
      </c>
      <c r="BF47" s="27" t="str">
        <f t="shared" ca="1" si="19"/>
        <v>miércoles</v>
      </c>
      <c r="BG47" s="27">
        <f t="shared" ca="1" si="20"/>
        <v>46554</v>
      </c>
      <c r="BK47" s="26" t="str">
        <f t="shared" ca="1" si="22"/>
        <v>2027</v>
      </c>
      <c r="BL47" s="26" t="str">
        <f t="shared" ca="1" si="25"/>
        <v>07</v>
      </c>
      <c r="BM47" s="26">
        <f t="shared" ca="1" si="24"/>
        <v>1</v>
      </c>
      <c r="BN47" s="26" t="str">
        <f t="shared" ca="1" si="21"/>
        <v>jueves</v>
      </c>
      <c r="BO47" s="27">
        <f t="shared" ca="1" si="7"/>
        <v>46569</v>
      </c>
    </row>
    <row r="48" spans="3:67" s="26" customFormat="1" ht="12">
      <c r="C48" s="38">
        <v>23</v>
      </c>
      <c r="D48" s="39">
        <f t="shared" ca="1" si="8"/>
        <v>46584</v>
      </c>
      <c r="E48" s="81">
        <f t="shared" ca="1" si="0"/>
        <v>46600</v>
      </c>
      <c r="F48" s="77">
        <f t="shared" ca="1" si="9"/>
        <v>31</v>
      </c>
      <c r="G48" s="40">
        <f t="shared" ca="1" si="10"/>
        <v>699</v>
      </c>
      <c r="H48" s="41">
        <f t="shared" ca="1" si="11"/>
        <v>0.84743071400000003</v>
      </c>
      <c r="I48" s="42">
        <f t="shared" ca="1" si="12"/>
        <v>1679.1599999999999</v>
      </c>
      <c r="J48" s="42">
        <f t="shared" ca="1" si="1"/>
        <v>114.22</v>
      </c>
      <c r="K48" s="42">
        <f t="shared" ca="1" si="2"/>
        <v>12.37</v>
      </c>
      <c r="L48" s="42">
        <f t="shared" ca="1" si="3"/>
        <v>126.59</v>
      </c>
      <c r="M48" s="43">
        <f t="shared" ca="1" si="4"/>
        <v>1564.9399999999998</v>
      </c>
      <c r="N48" s="48">
        <f ca="1">IF($E$7&gt;=C48,(IF(((Q48-(K48+(J47 * -1)+1))&lt;=0),1,((SUM(J$26:$J48)-(SUM($O$25:$O$27)))))),"-")</f>
        <v>2239.15</v>
      </c>
      <c r="O48" s="45">
        <f ca="1">IF($E$7&gt;=C48,(IF((N48&lt;=0),1,((SUM($J$26:J48)-(SUM($O$25:O47)))))),"-")</f>
        <v>114.2199999999998</v>
      </c>
      <c r="P48" s="42">
        <f t="shared" ca="1" si="5"/>
        <v>12.370000000000203</v>
      </c>
      <c r="Q48" s="46">
        <f t="shared" ca="1" si="13"/>
        <v>126.59</v>
      </c>
      <c r="R48" s="47"/>
      <c r="S48" s="46">
        <f t="shared" ca="1" si="6"/>
        <v>5.8770599999999993</v>
      </c>
      <c r="T48" s="47"/>
      <c r="U48" s="47">
        <f t="shared" ca="1" si="14"/>
        <v>132.46706</v>
      </c>
      <c r="V48" s="47"/>
      <c r="W48" s="47"/>
      <c r="X48" s="47"/>
      <c r="Y48" s="47"/>
      <c r="Z48" s="47"/>
      <c r="AA48" s="31">
        <v>23</v>
      </c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BA48" s="27">
        <f t="shared" ca="1" si="15"/>
        <v>46584</v>
      </c>
      <c r="BC48" s="26" t="str">
        <f t="shared" ca="1" si="16"/>
        <v>2027</v>
      </c>
      <c r="BD48" s="26" t="str">
        <f t="shared" ca="1" si="17"/>
        <v>07</v>
      </c>
      <c r="BE48" s="26">
        <f t="shared" ca="1" si="18"/>
        <v>16</v>
      </c>
      <c r="BF48" s="27" t="str">
        <f t="shared" ca="1" si="19"/>
        <v>viernes</v>
      </c>
      <c r="BG48" s="27">
        <f t="shared" ca="1" si="20"/>
        <v>46584</v>
      </c>
      <c r="BK48" s="26" t="str">
        <f t="shared" ca="1" si="22"/>
        <v>2027</v>
      </c>
      <c r="BL48" s="26" t="str">
        <f t="shared" ca="1" si="25"/>
        <v>08</v>
      </c>
      <c r="BM48" s="26">
        <f t="shared" ca="1" si="24"/>
        <v>1</v>
      </c>
      <c r="BN48" s="26" t="str">
        <f t="shared" ca="1" si="21"/>
        <v>domingo</v>
      </c>
      <c r="BO48" s="27">
        <f t="shared" ca="1" si="7"/>
        <v>46600</v>
      </c>
    </row>
    <row r="49" spans="3:67" s="26" customFormat="1" ht="12">
      <c r="C49" s="38">
        <v>24</v>
      </c>
      <c r="D49" s="39">
        <f t="shared" ca="1" si="8"/>
        <v>46615</v>
      </c>
      <c r="E49" s="81">
        <f t="shared" ca="1" si="0"/>
        <v>46631</v>
      </c>
      <c r="F49" s="77">
        <f t="shared" ca="1" si="9"/>
        <v>31</v>
      </c>
      <c r="G49" s="40">
        <f t="shared" ca="1" si="10"/>
        <v>730</v>
      </c>
      <c r="H49" s="41">
        <f t="shared" ca="1" si="11"/>
        <v>0.84123181300000005</v>
      </c>
      <c r="I49" s="42">
        <f t="shared" ca="1" si="12"/>
        <v>1564.9399999999998</v>
      </c>
      <c r="J49" s="42">
        <f t="shared" ca="1" si="1"/>
        <v>115.06</v>
      </c>
      <c r="K49" s="42">
        <f t="shared" ca="1" si="2"/>
        <v>11.53</v>
      </c>
      <c r="L49" s="42">
        <f t="shared" ca="1" si="3"/>
        <v>126.59</v>
      </c>
      <c r="M49" s="43">
        <f t="shared" ca="1" si="4"/>
        <v>1449.8799999999999</v>
      </c>
      <c r="N49" s="48">
        <f ca="1">IF($E$7&gt;=C49,(IF(((Q49-(K49+(J48 * -1)+1))&lt;=0),1,((SUM(J$26:$J49)-(SUM($O$25:$O$27)))))),"-")</f>
        <v>2354.21</v>
      </c>
      <c r="O49" s="45">
        <f ca="1">IF($E$7&gt;=C49,(IF((N49&lt;=0),1,((SUM($J$26:J49)-(SUM($O$25:O48)))))),"-")</f>
        <v>115.05999999999995</v>
      </c>
      <c r="P49" s="42">
        <f t="shared" ca="1" si="5"/>
        <v>11.530000000000058</v>
      </c>
      <c r="Q49" s="46">
        <f t="shared" ca="1" si="13"/>
        <v>126.59</v>
      </c>
      <c r="R49" s="47"/>
      <c r="S49" s="46">
        <f t="shared" ca="1" si="6"/>
        <v>5.4772899999999991</v>
      </c>
      <c r="T49" s="47"/>
      <c r="U49" s="47">
        <f ca="1">+IF($E$7&gt;=C49,+Q49+S49,"-")</f>
        <v>132.06729000000001</v>
      </c>
      <c r="V49" s="47"/>
      <c r="W49" s="47"/>
      <c r="X49" s="47"/>
      <c r="Y49" s="47"/>
      <c r="Z49" s="47"/>
      <c r="AA49" s="31">
        <v>24</v>
      </c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BA49" s="27">
        <f t="shared" ca="1" si="15"/>
        <v>46615</v>
      </c>
      <c r="BC49" s="26" t="str">
        <f t="shared" ca="1" si="16"/>
        <v>2027</v>
      </c>
      <c r="BD49" s="26" t="str">
        <f t="shared" ca="1" si="17"/>
        <v>08</v>
      </c>
      <c r="BE49" s="26">
        <f t="shared" ca="1" si="18"/>
        <v>16</v>
      </c>
      <c r="BF49" s="27" t="str">
        <f t="shared" ca="1" si="19"/>
        <v>lunes</v>
      </c>
      <c r="BG49" s="27">
        <f t="shared" ca="1" si="20"/>
        <v>46615</v>
      </c>
      <c r="BK49" s="26" t="str">
        <f t="shared" ca="1" si="22"/>
        <v>2027</v>
      </c>
      <c r="BL49" s="26" t="str">
        <f t="shared" ca="1" si="25"/>
        <v>09</v>
      </c>
      <c r="BM49" s="26">
        <f t="shared" ca="1" si="24"/>
        <v>1</v>
      </c>
      <c r="BN49" s="26" t="str">
        <f t="shared" ca="1" si="21"/>
        <v>miércoles</v>
      </c>
      <c r="BO49" s="27">
        <f t="shared" ca="1" si="7"/>
        <v>46631</v>
      </c>
    </row>
    <row r="50" spans="3:67" s="26" customFormat="1" ht="12">
      <c r="C50" s="38">
        <v>25</v>
      </c>
      <c r="D50" s="39">
        <f t="shared" ca="1" si="8"/>
        <v>46646</v>
      </c>
      <c r="E50" s="81">
        <f t="shared" ca="1" si="0"/>
        <v>46661</v>
      </c>
      <c r="F50" s="77">
        <f t="shared" ca="1" si="9"/>
        <v>30</v>
      </c>
      <c r="G50" s="40">
        <f t="shared" ca="1" si="10"/>
        <v>760</v>
      </c>
      <c r="H50" s="41">
        <f t="shared" ca="1" si="11"/>
        <v>0.83527605500000002</v>
      </c>
      <c r="I50" s="42">
        <f t="shared" ca="1" si="12"/>
        <v>1449.8799999999999</v>
      </c>
      <c r="J50" s="42">
        <f t="shared" ca="1" si="1"/>
        <v>116.25</v>
      </c>
      <c r="K50" s="42">
        <f t="shared" ca="1" si="2"/>
        <v>10.34</v>
      </c>
      <c r="L50" s="42">
        <f t="shared" ca="1" si="3"/>
        <v>126.59</v>
      </c>
      <c r="M50" s="43">
        <f t="shared" ca="1" si="4"/>
        <v>1333.6299999999999</v>
      </c>
      <c r="N50" s="48">
        <f ca="1">IF($E$7&gt;=C50,(IF(((Q50-(K50+(J49 * -1)+1))&lt;=0),1,((SUM(J$26:$J50)-(SUM($O$25:$O$27)))))),"-")</f>
        <v>2470.46</v>
      </c>
      <c r="O50" s="45">
        <f ca="1">IF($E$7&gt;=C50,(IF((N50&lt;=0),1,((SUM($J$26:J50)-(SUM($O$25:O49)))))),"-")</f>
        <v>116.25</v>
      </c>
      <c r="P50" s="42">
        <f t="shared" ca="1" si="5"/>
        <v>10.340000000000003</v>
      </c>
      <c r="Q50" s="46">
        <f t="shared" ca="1" si="13"/>
        <v>126.59</v>
      </c>
      <c r="R50" s="47"/>
      <c r="S50" s="46">
        <f t="shared" ca="1" si="6"/>
        <v>5.0745800000000001</v>
      </c>
      <c r="T50" s="47"/>
      <c r="U50" s="47">
        <f t="shared" ca="1" si="14"/>
        <v>131.66458</v>
      </c>
      <c r="V50" s="47"/>
      <c r="W50" s="47"/>
      <c r="X50" s="47"/>
      <c r="Y50" s="47"/>
      <c r="Z50" s="47"/>
      <c r="AA50" s="31">
        <v>25</v>
      </c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BA50" s="27">
        <f t="shared" ca="1" si="15"/>
        <v>46646</v>
      </c>
      <c r="BC50" s="26" t="str">
        <f t="shared" ca="1" si="16"/>
        <v>2027</v>
      </c>
      <c r="BD50" s="26" t="str">
        <f t="shared" ca="1" si="17"/>
        <v>09</v>
      </c>
      <c r="BE50" s="26">
        <f t="shared" ca="1" si="18"/>
        <v>16</v>
      </c>
      <c r="BF50" s="27" t="str">
        <f t="shared" ca="1" si="19"/>
        <v>jueves</v>
      </c>
      <c r="BG50" s="27">
        <f t="shared" ca="1" si="20"/>
        <v>46646</v>
      </c>
      <c r="BK50" s="26" t="str">
        <f t="shared" ca="1" si="22"/>
        <v>2027</v>
      </c>
      <c r="BL50" s="26" t="str">
        <f t="shared" ca="1" si="25"/>
        <v>10</v>
      </c>
      <c r="BM50" s="26">
        <f t="shared" ca="1" si="24"/>
        <v>1</v>
      </c>
      <c r="BN50" s="26" t="str">
        <f t="shared" ca="1" si="21"/>
        <v>viernes</v>
      </c>
      <c r="BO50" s="27">
        <f t="shared" ca="1" si="7"/>
        <v>46661</v>
      </c>
    </row>
    <row r="51" spans="3:67" s="26" customFormat="1" ht="12">
      <c r="C51" s="38">
        <v>26</v>
      </c>
      <c r="D51" s="39">
        <f t="shared" ca="1" si="8"/>
        <v>46675</v>
      </c>
      <c r="E51" s="81">
        <f t="shared" ca="1" si="0"/>
        <v>46692</v>
      </c>
      <c r="F51" s="77">
        <f t="shared" ca="1" si="9"/>
        <v>31</v>
      </c>
      <c r="G51" s="40">
        <f t="shared" ca="1" si="10"/>
        <v>791</v>
      </c>
      <c r="H51" s="41">
        <f t="shared" ca="1" si="11"/>
        <v>0.82916606500000001</v>
      </c>
      <c r="I51" s="42">
        <f t="shared" ca="1" si="12"/>
        <v>1333.6299999999999</v>
      </c>
      <c r="J51" s="42">
        <f t="shared" ca="1" si="1"/>
        <v>116.76</v>
      </c>
      <c r="K51" s="42">
        <f t="shared" ca="1" si="2"/>
        <v>9.83</v>
      </c>
      <c r="L51" s="42">
        <f t="shared" ca="1" si="3"/>
        <v>126.59</v>
      </c>
      <c r="M51" s="43">
        <f t="shared" ca="1" si="4"/>
        <v>1216.8699999999999</v>
      </c>
      <c r="N51" s="48">
        <f ca="1">IF($E$7&gt;=C51,(IF(((Q51-(K51+(J50 * -1)+1))&lt;=0),1,((SUM(J$26:$J51)-(SUM($O$25:$O$27)))))),"-")</f>
        <v>2587.2200000000003</v>
      </c>
      <c r="O51" s="45">
        <f ca="1">IF($E$7&gt;=C51,(IF((N51&lt;=0),1,((SUM($J$26:J51)-(SUM($O$25:O50)))))),"-")</f>
        <v>116.76000000000022</v>
      </c>
      <c r="P51" s="42">
        <f t="shared" ca="1" si="5"/>
        <v>9.8299999999997851</v>
      </c>
      <c r="Q51" s="46">
        <f t="shared" ca="1" si="13"/>
        <v>126.59</v>
      </c>
      <c r="R51" s="47"/>
      <c r="S51" s="46">
        <f t="shared" ca="1" si="6"/>
        <v>4.6677049999999998</v>
      </c>
      <c r="T51" s="47"/>
      <c r="U51" s="47">
        <f t="shared" ca="1" si="14"/>
        <v>131.25770500000002</v>
      </c>
      <c r="V51" s="47"/>
      <c r="W51" s="47"/>
      <c r="X51" s="47"/>
      <c r="Y51" s="47"/>
      <c r="Z51" s="47"/>
      <c r="AA51" s="31">
        <v>26</v>
      </c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BA51" s="27">
        <f t="shared" ca="1" si="15"/>
        <v>46675</v>
      </c>
      <c r="BC51" s="26" t="str">
        <f t="shared" ca="1" si="16"/>
        <v>2027</v>
      </c>
      <c r="BD51" s="26" t="str">
        <f t="shared" ca="1" si="17"/>
        <v>10</v>
      </c>
      <c r="BE51" s="26">
        <f t="shared" ca="1" si="18"/>
        <v>16</v>
      </c>
      <c r="BF51" s="27" t="str">
        <f t="shared" ca="1" si="19"/>
        <v>sábado</v>
      </c>
      <c r="BG51" s="27">
        <f t="shared" ca="1" si="20"/>
        <v>46676</v>
      </c>
      <c r="BK51" s="26" t="str">
        <f t="shared" ca="1" si="22"/>
        <v>2027</v>
      </c>
      <c r="BL51" s="26" t="str">
        <f t="shared" ca="1" si="25"/>
        <v>11</v>
      </c>
      <c r="BM51" s="26">
        <f t="shared" ca="1" si="24"/>
        <v>1</v>
      </c>
      <c r="BN51" s="26" t="str">
        <f t="shared" ca="1" si="21"/>
        <v>lunes</v>
      </c>
      <c r="BO51" s="27">
        <f t="shared" ca="1" si="7"/>
        <v>46692</v>
      </c>
    </row>
    <row r="52" spans="3:67" s="26" customFormat="1" ht="12">
      <c r="C52" s="38">
        <v>27</v>
      </c>
      <c r="D52" s="39">
        <f t="shared" ca="1" si="8"/>
        <v>46707</v>
      </c>
      <c r="E52" s="81">
        <f t="shared" ca="1" si="0"/>
        <v>46722</v>
      </c>
      <c r="F52" s="77">
        <f t="shared" ca="1" si="9"/>
        <v>30</v>
      </c>
      <c r="G52" s="40">
        <f t="shared" ca="1" si="10"/>
        <v>821</v>
      </c>
      <c r="H52" s="41">
        <f t="shared" ca="1" si="11"/>
        <v>0.82329573</v>
      </c>
      <c r="I52" s="42">
        <f t="shared" ca="1" si="12"/>
        <v>1216.8699999999999</v>
      </c>
      <c r="J52" s="42">
        <f t="shared" ca="1" si="1"/>
        <v>117.91</v>
      </c>
      <c r="K52" s="42">
        <f t="shared" ca="1" si="2"/>
        <v>8.68</v>
      </c>
      <c r="L52" s="42">
        <f t="shared" ca="1" si="3"/>
        <v>126.59</v>
      </c>
      <c r="M52" s="43">
        <f t="shared" ca="1" si="4"/>
        <v>1098.9599999999998</v>
      </c>
      <c r="N52" s="48">
        <f ca="1">IF($E$7&gt;=C52,(IF(((Q52-(K52+(J51 * -1)+1))&lt;=0),1,((SUM(J$26:$J52)-(SUM($O$25:$O$27)))))),"-")</f>
        <v>2705.13</v>
      </c>
      <c r="O52" s="45">
        <f ca="1">IF($E$7&gt;=C52,(IF((N52&lt;=0),1,((SUM($J$26:J52)-(SUM($O$25:O51)))))),"-")</f>
        <v>117.90999999999985</v>
      </c>
      <c r="P52" s="42">
        <f t="shared" ca="1" si="5"/>
        <v>8.6800000000001489</v>
      </c>
      <c r="Q52" s="46">
        <f t="shared" ca="1" si="13"/>
        <v>126.59</v>
      </c>
      <c r="R52" s="47"/>
      <c r="S52" s="46">
        <f t="shared" ca="1" si="6"/>
        <v>4.2590449999999995</v>
      </c>
      <c r="T52" s="47"/>
      <c r="U52" s="47">
        <f t="shared" ca="1" si="14"/>
        <v>130.84904499999999</v>
      </c>
      <c r="V52" s="47"/>
      <c r="W52" s="47"/>
      <c r="X52" s="47"/>
      <c r="Y52" s="47"/>
      <c r="Z52" s="47"/>
      <c r="AA52" s="31">
        <v>27</v>
      </c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BA52" s="27">
        <f t="shared" ca="1" si="15"/>
        <v>46707</v>
      </c>
      <c r="BC52" s="26" t="str">
        <f t="shared" ca="1" si="16"/>
        <v>2027</v>
      </c>
      <c r="BD52" s="26" t="str">
        <f t="shared" ca="1" si="17"/>
        <v>11</v>
      </c>
      <c r="BE52" s="26">
        <f t="shared" ca="1" si="18"/>
        <v>16</v>
      </c>
      <c r="BF52" s="27" t="str">
        <f t="shared" ca="1" si="19"/>
        <v>martes</v>
      </c>
      <c r="BG52" s="27">
        <f t="shared" ca="1" si="20"/>
        <v>46707</v>
      </c>
      <c r="BK52" s="26" t="str">
        <f t="shared" ca="1" si="22"/>
        <v>2027</v>
      </c>
      <c r="BL52" s="26" t="str">
        <f t="shared" ca="1" si="25"/>
        <v>12</v>
      </c>
      <c r="BM52" s="26">
        <f t="shared" ca="1" si="24"/>
        <v>1</v>
      </c>
      <c r="BN52" s="26" t="str">
        <f t="shared" ca="1" si="21"/>
        <v>miércoles</v>
      </c>
      <c r="BO52" s="27">
        <f t="shared" ca="1" si="7"/>
        <v>46722</v>
      </c>
    </row>
    <row r="53" spans="3:67" s="26" customFormat="1" ht="12">
      <c r="C53" s="38">
        <v>28</v>
      </c>
      <c r="D53" s="39">
        <f t="shared" ca="1" si="8"/>
        <v>46737</v>
      </c>
      <c r="E53" s="81">
        <f t="shared" ca="1" si="0"/>
        <v>46753</v>
      </c>
      <c r="F53" s="77">
        <f t="shared" ca="1" si="9"/>
        <v>31</v>
      </c>
      <c r="G53" s="40">
        <f t="shared" ca="1" si="10"/>
        <v>852</v>
      </c>
      <c r="H53" s="41">
        <f t="shared" ca="1" si="11"/>
        <v>0.81727337600000005</v>
      </c>
      <c r="I53" s="42">
        <f t="shared" ca="1" si="12"/>
        <v>1098.9599999999998</v>
      </c>
      <c r="J53" s="42">
        <f t="shared" ca="1" si="1"/>
        <v>118.49000000000001</v>
      </c>
      <c r="K53" s="42">
        <f t="shared" ca="1" si="2"/>
        <v>8.1</v>
      </c>
      <c r="L53" s="42">
        <f t="shared" ca="1" si="3"/>
        <v>126.59</v>
      </c>
      <c r="M53" s="43">
        <f t="shared" ca="1" si="4"/>
        <v>980.4699999999998</v>
      </c>
      <c r="N53" s="48">
        <f ca="1">IF($E$7&gt;=C53,(IF(((Q53-(K53+(J52 * -1)+1))&lt;=0),1,((SUM(J$26:$J53)-(SUM($O$25:$O$27)))))),"-")</f>
        <v>2823.62</v>
      </c>
      <c r="O53" s="45">
        <f ca="1">IF($E$7&gt;=C53,(IF((N53&lt;=0),1,((SUM($J$26:J53)-(SUM($O$25:O52)))))),"-")</f>
        <v>118.48999999999978</v>
      </c>
      <c r="P53" s="42">
        <f t="shared" ca="1" si="5"/>
        <v>8.1000000000002217</v>
      </c>
      <c r="Q53" s="46">
        <f t="shared" ca="1" si="13"/>
        <v>126.59</v>
      </c>
      <c r="R53" s="47"/>
      <c r="S53" s="46">
        <f t="shared" ca="1" si="6"/>
        <v>3.8463599999999993</v>
      </c>
      <c r="T53" s="47"/>
      <c r="U53" s="47">
        <f t="shared" ca="1" si="14"/>
        <v>130.43636000000001</v>
      </c>
      <c r="V53" s="47"/>
      <c r="W53" s="47"/>
      <c r="X53" s="47"/>
      <c r="Y53" s="47"/>
      <c r="Z53" s="47"/>
      <c r="AA53" s="31">
        <v>28</v>
      </c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BA53" s="27">
        <f t="shared" ca="1" si="15"/>
        <v>46737</v>
      </c>
      <c r="BC53" s="26" t="str">
        <f t="shared" ca="1" si="16"/>
        <v>2027</v>
      </c>
      <c r="BD53" s="26" t="str">
        <f t="shared" ca="1" si="17"/>
        <v>12</v>
      </c>
      <c r="BE53" s="26">
        <f t="shared" ca="1" si="18"/>
        <v>16</v>
      </c>
      <c r="BF53" s="27" t="str">
        <f t="shared" ca="1" si="19"/>
        <v>jueves</v>
      </c>
      <c r="BG53" s="27">
        <f t="shared" ca="1" si="20"/>
        <v>46737</v>
      </c>
      <c r="BK53" s="26" t="str">
        <f t="shared" ca="1" si="22"/>
        <v>2028</v>
      </c>
      <c r="BL53" s="26" t="str">
        <f t="shared" ca="1" si="25"/>
        <v>01</v>
      </c>
      <c r="BM53" s="26">
        <f t="shared" ca="1" si="24"/>
        <v>1</v>
      </c>
      <c r="BN53" s="26" t="str">
        <f t="shared" ca="1" si="21"/>
        <v>sábado</v>
      </c>
      <c r="BO53" s="27">
        <f t="shared" ca="1" si="7"/>
        <v>46753</v>
      </c>
    </row>
    <row r="54" spans="3:67" s="26" customFormat="1" ht="12">
      <c r="C54" s="38">
        <v>29</v>
      </c>
      <c r="D54" s="39">
        <f t="shared" ca="1" si="8"/>
        <v>46768</v>
      </c>
      <c r="E54" s="81">
        <f t="shared" ca="1" si="0"/>
        <v>46784</v>
      </c>
      <c r="F54" s="77">
        <f t="shared" ca="1" si="9"/>
        <v>31</v>
      </c>
      <c r="G54" s="40">
        <f t="shared" ca="1" si="10"/>
        <v>883</v>
      </c>
      <c r="H54" s="41">
        <f t="shared" ca="1" si="11"/>
        <v>0.81129507499999998</v>
      </c>
      <c r="I54" s="42">
        <f t="shared" ca="1" si="12"/>
        <v>980.4699999999998</v>
      </c>
      <c r="J54" s="42">
        <f t="shared" ca="1" si="1"/>
        <v>119.37</v>
      </c>
      <c r="K54" s="42">
        <f t="shared" ca="1" si="2"/>
        <v>7.22</v>
      </c>
      <c r="L54" s="42">
        <f t="shared" ca="1" si="3"/>
        <v>126.59</v>
      </c>
      <c r="M54" s="43">
        <f t="shared" ca="1" si="4"/>
        <v>861.0999999999998</v>
      </c>
      <c r="N54" s="48">
        <f ca="1">IF($E$7&gt;=C54,(IF(((Q54-(K54+(J53 * -1)+1))&lt;=0),1,((SUM(J$26:$J54)-(SUM($O$25:$O$27)))))),"-")</f>
        <v>2942.99</v>
      </c>
      <c r="O54" s="45">
        <f ca="1">IF($E$7&gt;=C54,(IF((N54&lt;=0),1,((SUM($J$26:J54)-(SUM($O$25:O53)))))),"-")</f>
        <v>119.36999999999989</v>
      </c>
      <c r="P54" s="42">
        <f t="shared" ca="1" si="5"/>
        <v>7.2200000000001125</v>
      </c>
      <c r="Q54" s="46">
        <f t="shared" ca="1" si="13"/>
        <v>126.59</v>
      </c>
      <c r="R54" s="47"/>
      <c r="S54" s="46">
        <f t="shared" ca="1" si="6"/>
        <v>3.4316449999999992</v>
      </c>
      <c r="T54" s="47"/>
      <c r="U54" s="47">
        <f t="shared" ca="1" si="14"/>
        <v>130.02164500000001</v>
      </c>
      <c r="V54" s="47"/>
      <c r="W54" s="47"/>
      <c r="X54" s="47"/>
      <c r="Y54" s="47"/>
      <c r="Z54" s="47"/>
      <c r="AA54" s="31">
        <v>29</v>
      </c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BA54" s="27">
        <f t="shared" ca="1" si="15"/>
        <v>46768</v>
      </c>
      <c r="BC54" s="26" t="str">
        <f t="shared" ca="1" si="16"/>
        <v>2028</v>
      </c>
      <c r="BD54" s="26" t="str">
        <f t="shared" ca="1" si="17"/>
        <v>01</v>
      </c>
      <c r="BE54" s="26">
        <f t="shared" ca="1" si="18"/>
        <v>16</v>
      </c>
      <c r="BF54" s="27" t="str">
        <f t="shared" ca="1" si="19"/>
        <v>domingo</v>
      </c>
      <c r="BG54" s="27">
        <f t="shared" ca="1" si="20"/>
        <v>46768</v>
      </c>
      <c r="BK54" s="26" t="str">
        <f t="shared" ca="1" si="22"/>
        <v>2028</v>
      </c>
      <c r="BL54" s="26" t="str">
        <f t="shared" ca="1" si="25"/>
        <v>02</v>
      </c>
      <c r="BM54" s="26">
        <f t="shared" ca="1" si="24"/>
        <v>1</v>
      </c>
      <c r="BN54" s="26" t="str">
        <f t="shared" ca="1" si="21"/>
        <v>martes</v>
      </c>
      <c r="BO54" s="27">
        <f t="shared" ca="1" si="7"/>
        <v>46784</v>
      </c>
    </row>
    <row r="55" spans="3:67" s="26" customFormat="1" ht="12">
      <c r="C55" s="38">
        <v>30</v>
      </c>
      <c r="D55" s="39">
        <f t="shared" ca="1" si="8"/>
        <v>46799</v>
      </c>
      <c r="E55" s="81">
        <f t="shared" ca="1" si="0"/>
        <v>46813</v>
      </c>
      <c r="F55" s="77">
        <f t="shared" ca="1" si="9"/>
        <v>29</v>
      </c>
      <c r="G55" s="40">
        <f t="shared" ca="1" si="10"/>
        <v>912</v>
      </c>
      <c r="H55" s="41">
        <f t="shared" ca="1" si="11"/>
        <v>0.80574206599999998</v>
      </c>
      <c r="I55" s="42">
        <f t="shared" ca="1" si="12"/>
        <v>861.0999999999998</v>
      </c>
      <c r="J55" s="42">
        <f t="shared" ca="1" si="1"/>
        <v>120.66</v>
      </c>
      <c r="K55" s="42">
        <f t="shared" ca="1" si="2"/>
        <v>5.93</v>
      </c>
      <c r="L55" s="42">
        <f t="shared" ca="1" si="3"/>
        <v>126.59</v>
      </c>
      <c r="M55" s="43">
        <f t="shared" ca="1" si="4"/>
        <v>740.43999999999983</v>
      </c>
      <c r="N55" s="48">
        <f ca="1">IF($E$7&gt;=C55,(IF(((Q55-(K55+(J54 * -1)+1))&lt;=0),1,((SUM(J$26:$J55)-(SUM($O$25:$O$27)))))),"-")</f>
        <v>3063.6499999999996</v>
      </c>
      <c r="O55" s="45">
        <f ca="1">IF($E$7&gt;=C55,(IF((N55&lt;=0),1,((SUM($J$26:J55)-(SUM($O$25:O54)))))),"-")</f>
        <v>120.65999999999985</v>
      </c>
      <c r="P55" s="42">
        <f t="shared" ca="1" si="5"/>
        <v>5.9300000000001489</v>
      </c>
      <c r="Q55" s="46">
        <f t="shared" ca="1" si="13"/>
        <v>126.59</v>
      </c>
      <c r="R55" s="47"/>
      <c r="S55" s="46">
        <f t="shared" ca="1" si="6"/>
        <v>3.0138499999999993</v>
      </c>
      <c r="T55" s="47"/>
      <c r="U55" s="47">
        <f t="shared" ca="1" si="14"/>
        <v>129.60384999999999</v>
      </c>
      <c r="V55" s="47"/>
      <c r="W55" s="47"/>
      <c r="X55" s="47"/>
      <c r="Y55" s="47"/>
      <c r="Z55" s="47"/>
      <c r="AA55" s="31">
        <v>30</v>
      </c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BA55" s="27">
        <f t="shared" ca="1" si="15"/>
        <v>46799</v>
      </c>
      <c r="BC55" s="26" t="str">
        <f t="shared" ca="1" si="16"/>
        <v>2028</v>
      </c>
      <c r="BD55" s="26" t="str">
        <f t="shared" ca="1" si="17"/>
        <v>02</v>
      </c>
      <c r="BE55" s="26">
        <f t="shared" ca="1" si="18"/>
        <v>16</v>
      </c>
      <c r="BF55" s="27" t="str">
        <f t="shared" ca="1" si="19"/>
        <v>miércoles</v>
      </c>
      <c r="BG55" s="27">
        <f t="shared" ca="1" si="20"/>
        <v>46799</v>
      </c>
      <c r="BK55" s="26" t="str">
        <f t="shared" ca="1" si="22"/>
        <v>2028</v>
      </c>
      <c r="BL55" s="26" t="str">
        <f t="shared" ca="1" si="25"/>
        <v>03</v>
      </c>
      <c r="BM55" s="26">
        <f t="shared" ca="1" si="24"/>
        <v>1</v>
      </c>
      <c r="BN55" s="26" t="str">
        <f t="shared" ca="1" si="21"/>
        <v>miércoles</v>
      </c>
      <c r="BO55" s="27">
        <f t="shared" ca="1" si="7"/>
        <v>46813</v>
      </c>
    </row>
    <row r="56" spans="3:67" s="26" customFormat="1" ht="12">
      <c r="C56" s="38">
        <v>31</v>
      </c>
      <c r="D56" s="39">
        <f t="shared" ca="1" si="8"/>
        <v>46828</v>
      </c>
      <c r="E56" s="81">
        <f t="shared" ca="1" si="0"/>
        <v>46844</v>
      </c>
      <c r="F56" s="77">
        <f t="shared" ca="1" si="9"/>
        <v>31</v>
      </c>
      <c r="G56" s="40">
        <f t="shared" ca="1" si="10"/>
        <v>943</v>
      </c>
      <c r="H56" s="41">
        <f t="shared" ca="1" si="11"/>
        <v>0.79984811600000005</v>
      </c>
      <c r="I56" s="42">
        <f t="shared" ca="1" si="12"/>
        <v>740.43999999999983</v>
      </c>
      <c r="J56" s="42">
        <f t="shared" ca="1" si="1"/>
        <v>121.13000000000001</v>
      </c>
      <c r="K56" s="42">
        <f t="shared" ca="1" si="2"/>
        <v>5.46</v>
      </c>
      <c r="L56" s="42">
        <f t="shared" ca="1" si="3"/>
        <v>126.59</v>
      </c>
      <c r="M56" s="43">
        <f t="shared" ca="1" si="4"/>
        <v>619.30999999999983</v>
      </c>
      <c r="N56" s="48">
        <f ca="1">IF($E$7&gt;=C56,(IF(((Q56-(K56+(J55 * -1)+1))&lt;=0),1,((SUM(J$26:$J56)-(SUM($O$25:$O$27)))))),"-")</f>
        <v>3184.7799999999997</v>
      </c>
      <c r="O56" s="45">
        <f ca="1">IF($E$7&gt;=C56,(IF((N56&lt;=0),1,((SUM($J$26:J56)-(SUM($O$25:O55)))))),"-")</f>
        <v>121.13000000000011</v>
      </c>
      <c r="P56" s="42">
        <f t="shared" ca="1" si="5"/>
        <v>5.4599999999998943</v>
      </c>
      <c r="Q56" s="46">
        <f t="shared" ca="1" si="13"/>
        <v>126.59</v>
      </c>
      <c r="R56" s="47"/>
      <c r="S56" s="46">
        <f t="shared" ca="1" si="6"/>
        <v>2.5915399999999993</v>
      </c>
      <c r="T56" s="47"/>
      <c r="U56" s="47">
        <f t="shared" ca="1" si="14"/>
        <v>129.18154000000001</v>
      </c>
      <c r="V56" s="47"/>
      <c r="W56" s="47"/>
      <c r="X56" s="47"/>
      <c r="Y56" s="47"/>
      <c r="Z56" s="47"/>
      <c r="AA56" s="31">
        <v>31</v>
      </c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BA56" s="27">
        <f t="shared" ca="1" si="15"/>
        <v>46828</v>
      </c>
      <c r="BC56" s="26" t="str">
        <f t="shared" ca="1" si="16"/>
        <v>2028</v>
      </c>
      <c r="BD56" s="26" t="str">
        <f t="shared" ca="1" si="17"/>
        <v>03</v>
      </c>
      <c r="BE56" s="26">
        <f t="shared" ca="1" si="18"/>
        <v>16</v>
      </c>
      <c r="BF56" s="27" t="str">
        <f t="shared" ca="1" si="19"/>
        <v>jueves</v>
      </c>
      <c r="BG56" s="27">
        <f t="shared" ca="1" si="20"/>
        <v>46828</v>
      </c>
      <c r="BK56" s="26" t="str">
        <f t="shared" ca="1" si="22"/>
        <v>2028</v>
      </c>
      <c r="BL56" s="26" t="str">
        <f t="shared" ca="1" si="25"/>
        <v>04</v>
      </c>
      <c r="BM56" s="26">
        <f t="shared" ca="1" si="24"/>
        <v>1</v>
      </c>
      <c r="BN56" s="26" t="str">
        <f t="shared" ca="1" si="21"/>
        <v>sábado</v>
      </c>
      <c r="BO56" s="27">
        <f t="shared" ca="1" si="7"/>
        <v>46844</v>
      </c>
    </row>
    <row r="57" spans="3:67" s="26" customFormat="1" ht="12">
      <c r="C57" s="38">
        <v>32</v>
      </c>
      <c r="D57" s="39">
        <f t="shared" ca="1" si="8"/>
        <v>46859</v>
      </c>
      <c r="E57" s="81">
        <f t="shared" ca="1" si="0"/>
        <v>46874</v>
      </c>
      <c r="F57" s="77">
        <f t="shared" ca="1" si="9"/>
        <v>30</v>
      </c>
      <c r="G57" s="40">
        <f t="shared" ca="1" si="10"/>
        <v>973</v>
      </c>
      <c r="H57" s="41">
        <f t="shared" ca="1" si="11"/>
        <v>0.79418534600000001</v>
      </c>
      <c r="I57" s="42">
        <f t="shared" ca="1" si="12"/>
        <v>619.30999999999983</v>
      </c>
      <c r="J57" s="42">
        <f t="shared" ca="1" si="1"/>
        <v>122.17</v>
      </c>
      <c r="K57" s="42">
        <f t="shared" ca="1" si="2"/>
        <v>4.42</v>
      </c>
      <c r="L57" s="42">
        <f t="shared" ca="1" si="3"/>
        <v>126.59</v>
      </c>
      <c r="M57" s="43">
        <f t="shared" ca="1" si="4"/>
        <v>497.13999999999982</v>
      </c>
      <c r="N57" s="48">
        <f ca="1">IF($E$7&gt;=C57,(IF(((Q57-(K57+(J56 * -1)+1))&lt;=0),1,((SUM(J$26:$J57)-(SUM($O$25:$O$27)))))),"-")</f>
        <v>3306.95</v>
      </c>
      <c r="O57" s="45">
        <f ca="1">IF($E$7&gt;=C57,(IF((N57&lt;=0),1,((SUM($J$26:J57)-(SUM($O$25:O56)))))),"-")</f>
        <v>122.17000000000007</v>
      </c>
      <c r="P57" s="42">
        <f t="shared" ca="1" si="5"/>
        <v>4.4199999999999307</v>
      </c>
      <c r="Q57" s="46">
        <f t="shared" ca="1" si="13"/>
        <v>126.59</v>
      </c>
      <c r="R57" s="47"/>
      <c r="S57" s="46">
        <f t="shared" ca="1" si="6"/>
        <v>2.1675849999999994</v>
      </c>
      <c r="T57" s="47"/>
      <c r="U57" s="47">
        <f t="shared" ca="1" si="14"/>
        <v>128.75758500000001</v>
      </c>
      <c r="V57" s="47"/>
      <c r="W57" s="47"/>
      <c r="X57" s="47"/>
      <c r="Y57" s="47"/>
      <c r="Z57" s="47"/>
      <c r="AA57" s="31">
        <v>32</v>
      </c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BA57" s="27">
        <f t="shared" ca="1" si="15"/>
        <v>46859</v>
      </c>
      <c r="BC57" s="26" t="str">
        <f t="shared" ca="1" si="16"/>
        <v>2028</v>
      </c>
      <c r="BD57" s="26" t="str">
        <f t="shared" ca="1" si="17"/>
        <v>04</v>
      </c>
      <c r="BE57" s="26">
        <f t="shared" ca="1" si="18"/>
        <v>16</v>
      </c>
      <c r="BF57" s="27" t="str">
        <f t="shared" ca="1" si="19"/>
        <v>domingo</v>
      </c>
      <c r="BG57" s="27">
        <f t="shared" ca="1" si="20"/>
        <v>46859</v>
      </c>
      <c r="BK57" s="26" t="str">
        <f t="shared" ca="1" si="22"/>
        <v>2028</v>
      </c>
      <c r="BL57" s="26" t="str">
        <f t="shared" ca="1" si="25"/>
        <v>05</v>
      </c>
      <c r="BM57" s="26">
        <f t="shared" ca="1" si="24"/>
        <v>1</v>
      </c>
      <c r="BN57" s="26" t="str">
        <f t="shared" ca="1" si="21"/>
        <v>lunes</v>
      </c>
      <c r="BO57" s="27">
        <f t="shared" ca="1" si="7"/>
        <v>46874</v>
      </c>
    </row>
    <row r="58" spans="3:67" s="26" customFormat="1" ht="12">
      <c r="C58" s="38">
        <v>33</v>
      </c>
      <c r="D58" s="39">
        <f t="shared" ca="1" si="8"/>
        <v>46889</v>
      </c>
      <c r="E58" s="81">
        <f t="shared" ref="E58:E89" ca="1" si="26">IF($E$21="No",IF(BF58="sábado",IF($E$7&gt;=C58,BG58+$Q$20,"-"),IF($E$7&gt;=C58,D58+$Q$20,"-")),BO58)</f>
        <v>46905</v>
      </c>
      <c r="F58" s="77">
        <f t="shared" ca="1" si="9"/>
        <v>31</v>
      </c>
      <c r="G58" s="40">
        <f t="shared" ca="1" si="10"/>
        <v>1004</v>
      </c>
      <c r="H58" s="41">
        <f t="shared" ref="H58:H89" ca="1" si="27">IF($E$7&gt;=C58,ROUND(1/((1+$E$8)^(G58/360)),9),"-")</f>
        <v>0.788375932</v>
      </c>
      <c r="I58" s="42">
        <f t="shared" ca="1" si="12"/>
        <v>497.13999999999982</v>
      </c>
      <c r="J58" s="42">
        <f t="shared" ref="J58:J89" ca="1" si="28">IF($E$7=C58,I58,IF($E$7&gt;=C58,L58-K58,"-"))</f>
        <v>122.93</v>
      </c>
      <c r="K58" s="42">
        <f t="shared" ref="K58:K89" ca="1" si="29">IF($E$7=C58,ROUND(I58*((1+$E$8)^(F58/360)-1),2),IF($E$7&gt;=C58,ROUND(I58*((1+$E$8)^(F58/360)-1),2),"-"))</f>
        <v>3.66</v>
      </c>
      <c r="L58" s="42">
        <f t="shared" ref="L58:L89" ca="1" si="30">IF($E$7&gt;C58,ROUND($E$6/$H$98,2),IF($E$7=C58,J58+K58,"-"))</f>
        <v>126.59</v>
      </c>
      <c r="M58" s="43">
        <f t="shared" ref="M58:M89" ca="1" si="31">IF($E$7&gt;=C58,I58-J58,"-")</f>
        <v>374.20999999999981</v>
      </c>
      <c r="N58" s="48">
        <f ca="1">IF($E$7&gt;=C58,(IF(((Q58-(K58+(J57 * -1)+1))&lt;=0),1,((SUM(J$26:$J58)-(SUM($O$25:$O$27)))))),"-")</f>
        <v>3429.8799999999997</v>
      </c>
      <c r="O58" s="45">
        <f ca="1">IF($E$7&gt;=C58,(IF((N58&lt;=0),1,((SUM($J$26:J58)-(SUM($O$25:O57)))))),"-")</f>
        <v>122.92999999999984</v>
      </c>
      <c r="P58" s="42">
        <f t="shared" ref="P58:P89" ca="1" si="32">IF($E$7&gt;=C58,(Q58-O58),"-")</f>
        <v>3.6600000000001671</v>
      </c>
      <c r="Q58" s="46">
        <f t="shared" ref="Q58:Q89" ca="1" si="33">IF($E$7&gt;=C58,(VALUE(L58)),"-")</f>
        <v>126.59</v>
      </c>
      <c r="R58" s="47"/>
      <c r="S58" s="46">
        <f t="shared" ref="S58:S85" ca="1" si="34">IF($E$7&gt;=C58,(IF(IF(I58=0,0,$AA$21*I58)&gt;=$AA$20,$AA$20,IF(I58=0,0,$AA$21*I58))),"-")</f>
        <v>1.7399899999999995</v>
      </c>
      <c r="T58" s="47"/>
      <c r="U58" s="47">
        <f t="shared" ca="1" si="14"/>
        <v>128.32999000000001</v>
      </c>
      <c r="V58" s="47"/>
      <c r="W58" s="47"/>
      <c r="X58" s="47"/>
      <c r="Y58" s="47"/>
      <c r="Z58" s="47"/>
      <c r="AA58" s="31">
        <v>33</v>
      </c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BA58" s="27">
        <f t="shared" ca="1" si="15"/>
        <v>46889</v>
      </c>
      <c r="BC58" s="26" t="str">
        <f t="shared" ca="1" si="16"/>
        <v>2028</v>
      </c>
      <c r="BD58" s="26" t="str">
        <f t="shared" ca="1" si="17"/>
        <v>05</v>
      </c>
      <c r="BE58" s="26">
        <f t="shared" ca="1" si="18"/>
        <v>16</v>
      </c>
      <c r="BF58" s="27" t="str">
        <f t="shared" ca="1" si="19"/>
        <v>martes</v>
      </c>
      <c r="BG58" s="27">
        <f t="shared" ca="1" si="20"/>
        <v>46889</v>
      </c>
      <c r="BK58" s="26" t="str">
        <f t="shared" ca="1" si="22"/>
        <v>2028</v>
      </c>
      <c r="BL58" s="26" t="str">
        <f t="shared" ca="1" si="25"/>
        <v>06</v>
      </c>
      <c r="BM58" s="26">
        <f t="shared" ca="1" si="24"/>
        <v>1</v>
      </c>
      <c r="BN58" s="26" t="str">
        <f t="shared" ca="1" si="21"/>
        <v>jueves</v>
      </c>
      <c r="BO58" s="27">
        <f t="shared" ref="BO58:BO89" ca="1" si="35">IF(C58&lt;=$E$7,VALUE(CONCATENATE(BM58,"/",BL58,"/",BK58)),"-")</f>
        <v>46905</v>
      </c>
    </row>
    <row r="59" spans="3:67" s="26" customFormat="1" ht="12">
      <c r="C59" s="38">
        <v>34</v>
      </c>
      <c r="D59" s="39">
        <f t="shared" ref="D59:D90" ca="1" si="36">IF(TEXT(IF($E$7&gt;=C59,VALUE(CONCATENATE(BE59,"/",BD59,"/",BC59)),"-"),"dddd")="sábado",IF($E$7&gt;=C59,VALUE(CONCATENATE(BE59,"/",BD59,"/",BC59)),"-")-1,IF($E$7&gt;=C59,VALUE(CONCATENATE(BE59,"/",BD59,"/",BC59)),"-"))</f>
        <v>46920</v>
      </c>
      <c r="E59" s="81">
        <f t="shared" ca="1" si="26"/>
        <v>46935</v>
      </c>
      <c r="F59" s="77">
        <f t="shared" ref="F59:F90" ca="1" si="37">IF($E$7&gt;=C59,E59-E58,"-")</f>
        <v>30</v>
      </c>
      <c r="G59" s="40">
        <f t="shared" ref="G59:G90" ca="1" si="38">IF($E$7&gt;=C59,G58+F59,"-")</f>
        <v>1034</v>
      </c>
      <c r="H59" s="41">
        <f t="shared" ca="1" si="27"/>
        <v>0.78279438300000004</v>
      </c>
      <c r="I59" s="42">
        <f t="shared" ref="I59:I90" ca="1" si="39">IF($E$7&gt;=C59,M58,"-")</f>
        <v>374.20999999999981</v>
      </c>
      <c r="J59" s="42">
        <f t="shared" ca="1" si="28"/>
        <v>123.92</v>
      </c>
      <c r="K59" s="42">
        <f t="shared" ca="1" si="29"/>
        <v>2.67</v>
      </c>
      <c r="L59" s="42">
        <f t="shared" ca="1" si="30"/>
        <v>126.59</v>
      </c>
      <c r="M59" s="43">
        <f t="shared" ca="1" si="31"/>
        <v>250.28999999999979</v>
      </c>
      <c r="N59" s="48">
        <f ca="1">IF($E$7&gt;=C59,(IF(((Q59-(K59+(J58 * -1)+1))&lt;=0),1,((SUM(J$26:$J59)-(SUM($O$25:$O$27)))))),"-")</f>
        <v>3553.7999999999997</v>
      </c>
      <c r="O59" s="45">
        <f ca="1">IF($E$7&gt;=C59,(IF((N59&lt;=0),1,((SUM($J$26:J59)-(SUM($O$25:O58)))))),"-")</f>
        <v>123.92000000000007</v>
      </c>
      <c r="P59" s="42">
        <f t="shared" ca="1" si="32"/>
        <v>2.6699999999999307</v>
      </c>
      <c r="Q59" s="46">
        <f t="shared" ca="1" si="33"/>
        <v>126.59</v>
      </c>
      <c r="R59" s="47"/>
      <c r="S59" s="46">
        <f t="shared" ca="1" si="34"/>
        <v>1.3097349999999994</v>
      </c>
      <c r="T59" s="47"/>
      <c r="U59" s="47">
        <f t="shared" ca="1" si="14"/>
        <v>127.89973500000001</v>
      </c>
      <c r="V59" s="47"/>
      <c r="W59" s="47"/>
      <c r="X59" s="47"/>
      <c r="Y59" s="47"/>
      <c r="Z59" s="47"/>
      <c r="AA59" s="31">
        <v>34</v>
      </c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BA59" s="27">
        <f t="shared" ref="BA59:BA90" ca="1" si="40">IF(TEXT(IF($E$7&gt;=C59,VALUE(CONCATENATE(BE59,"/",BD59,"/",BC59)),"-"),"dddd")="sábado",IF($E$7&gt;=C59,VALUE(CONCATENATE(BE59,"/",BD59,"/",BC59)),"-")-1,IF($E$7&gt;=C59,VALUE(CONCATENATE(BE59,"/",BD59,"/",BC59)),"-"))</f>
        <v>46920</v>
      </c>
      <c r="BC59" s="26" t="str">
        <f t="shared" ca="1" si="16"/>
        <v>2028</v>
      </c>
      <c r="BD59" s="26" t="str">
        <f t="shared" ca="1" si="17"/>
        <v>06</v>
      </c>
      <c r="BE59" s="26">
        <f t="shared" ca="1" si="18"/>
        <v>16</v>
      </c>
      <c r="BF59" s="27" t="str">
        <f t="shared" ca="1" si="19"/>
        <v>viernes</v>
      </c>
      <c r="BG59" s="27">
        <f t="shared" ca="1" si="20"/>
        <v>46920</v>
      </c>
      <c r="BK59" s="26" t="str">
        <f t="shared" ca="1" si="22"/>
        <v>2028</v>
      </c>
      <c r="BL59" s="26" t="str">
        <f t="shared" ca="1" si="25"/>
        <v>07</v>
      </c>
      <c r="BM59" s="26">
        <f t="shared" ca="1" si="24"/>
        <v>1</v>
      </c>
      <c r="BN59" s="26" t="str">
        <f t="shared" ca="1" si="21"/>
        <v>sábado</v>
      </c>
      <c r="BO59" s="27">
        <f t="shared" ca="1" si="35"/>
        <v>46935</v>
      </c>
    </row>
    <row r="60" spans="3:67" s="26" customFormat="1" ht="12">
      <c r="C60" s="38">
        <v>35</v>
      </c>
      <c r="D60" s="39">
        <f t="shared" ca="1" si="36"/>
        <v>46950</v>
      </c>
      <c r="E60" s="81">
        <f t="shared" ca="1" si="26"/>
        <v>46966</v>
      </c>
      <c r="F60" s="77">
        <f t="shared" ca="1" si="37"/>
        <v>31</v>
      </c>
      <c r="G60" s="40">
        <f t="shared" ca="1" si="38"/>
        <v>1065</v>
      </c>
      <c r="H60" s="41">
        <f t="shared" ca="1" si="27"/>
        <v>0.77706829399999999</v>
      </c>
      <c r="I60" s="42">
        <f t="shared" ca="1" si="39"/>
        <v>250.28999999999979</v>
      </c>
      <c r="J60" s="42">
        <f t="shared" ca="1" si="28"/>
        <v>124.75</v>
      </c>
      <c r="K60" s="42">
        <f t="shared" ca="1" si="29"/>
        <v>1.84</v>
      </c>
      <c r="L60" s="42">
        <f t="shared" ca="1" si="30"/>
        <v>126.59</v>
      </c>
      <c r="M60" s="43">
        <f t="shared" ca="1" si="31"/>
        <v>125.53999999999979</v>
      </c>
      <c r="N60" s="48">
        <f ca="1">IF($E$7&gt;=C60,(IF(((Q60-(K60+(J59 * -1)+1))&lt;=0),1,((SUM(J$26:$J60)-(SUM($O$25:$O$27)))))),"-")</f>
        <v>3678.5499999999997</v>
      </c>
      <c r="O60" s="45">
        <f ca="1">IF($E$7&gt;=C60,(IF((N60&lt;=0),1,((SUM($J$26:J60)-(SUM($O$25:O59)))))),"-")</f>
        <v>124.75</v>
      </c>
      <c r="P60" s="42">
        <f t="shared" ca="1" si="32"/>
        <v>1.8400000000000034</v>
      </c>
      <c r="Q60" s="46">
        <f t="shared" ca="1" si="33"/>
        <v>126.59</v>
      </c>
      <c r="R60" s="47"/>
      <c r="S60" s="46">
        <f t="shared" ca="1" si="34"/>
        <v>0.87601499999999932</v>
      </c>
      <c r="T60" s="47"/>
      <c r="U60" s="47">
        <f t="shared" ca="1" si="14"/>
        <v>127.466015</v>
      </c>
      <c r="V60" s="47"/>
      <c r="W60" s="47"/>
      <c r="X60" s="47"/>
      <c r="Y60" s="47"/>
      <c r="Z60" s="47"/>
      <c r="AA60" s="31">
        <v>35</v>
      </c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BA60" s="27">
        <f t="shared" ca="1" si="40"/>
        <v>46950</v>
      </c>
      <c r="BC60" s="26" t="str">
        <f t="shared" ca="1" si="16"/>
        <v>2028</v>
      </c>
      <c r="BD60" s="26" t="str">
        <f t="shared" ca="1" si="17"/>
        <v>07</v>
      </c>
      <c r="BE60" s="26">
        <f t="shared" ca="1" si="18"/>
        <v>16</v>
      </c>
      <c r="BF60" s="27" t="str">
        <f t="shared" ca="1" si="19"/>
        <v>domingo</v>
      </c>
      <c r="BG60" s="27">
        <f t="shared" ca="1" si="20"/>
        <v>46950</v>
      </c>
      <c r="BK60" s="26" t="str">
        <f t="shared" ca="1" si="22"/>
        <v>2028</v>
      </c>
      <c r="BL60" s="26" t="str">
        <f t="shared" ca="1" si="25"/>
        <v>08</v>
      </c>
      <c r="BM60" s="26">
        <f t="shared" ca="1" si="24"/>
        <v>1</v>
      </c>
      <c r="BN60" s="26" t="str">
        <f t="shared" ca="1" si="21"/>
        <v>martes</v>
      </c>
      <c r="BO60" s="27">
        <f t="shared" ca="1" si="35"/>
        <v>46966</v>
      </c>
    </row>
    <row r="61" spans="3:67" s="26" customFormat="1" ht="12">
      <c r="C61" s="50">
        <v>36</v>
      </c>
      <c r="D61" s="39">
        <f t="shared" ca="1" si="36"/>
        <v>46981</v>
      </c>
      <c r="E61" s="81">
        <f t="shared" ca="1" si="26"/>
        <v>46997</v>
      </c>
      <c r="F61" s="78">
        <f t="shared" ca="1" si="37"/>
        <v>31</v>
      </c>
      <c r="G61" s="51">
        <f t="shared" ca="1" si="38"/>
        <v>1096</v>
      </c>
      <c r="H61" s="41">
        <f t="shared" ca="1" si="27"/>
        <v>0.77138408999999997</v>
      </c>
      <c r="I61" s="42">
        <f t="shared" ca="1" si="39"/>
        <v>125.53999999999979</v>
      </c>
      <c r="J61" s="42">
        <f t="shared" ca="1" si="28"/>
        <v>125.53999999999979</v>
      </c>
      <c r="K61" s="42">
        <f t="shared" ca="1" si="29"/>
        <v>0.93</v>
      </c>
      <c r="L61" s="42">
        <f t="shared" ca="1" si="30"/>
        <v>126.4699999999998</v>
      </c>
      <c r="M61" s="52">
        <f t="shared" ca="1" si="31"/>
        <v>0</v>
      </c>
      <c r="N61" s="48">
        <f ca="1">IF($E$7&gt;=C61,(IF(((Q61-(K61+(J60 * -1)+1))&lt;=0),1,((SUM(J$26:$J61)-(SUM($O$25:$O$27)))))),"-")</f>
        <v>3804.0899999999997</v>
      </c>
      <c r="O61" s="45">
        <f ca="1">IF($E$7&gt;=C61,(IF((N61&lt;=0),1,((SUM($J$26:J61)-(SUM($O$25:O60)))))),"-")</f>
        <v>125.53999999999996</v>
      </c>
      <c r="P61" s="42">
        <f t="shared" ca="1" si="32"/>
        <v>0.92999999999983629</v>
      </c>
      <c r="Q61" s="46">
        <f t="shared" ca="1" si="33"/>
        <v>126.4699999999998</v>
      </c>
      <c r="R61" s="47"/>
      <c r="S61" s="46">
        <f t="shared" ca="1" si="34"/>
        <v>0.43938999999999928</v>
      </c>
      <c r="T61" s="47"/>
      <c r="U61" s="47">
        <f t="shared" ca="1" si="14"/>
        <v>126.9093899999998</v>
      </c>
      <c r="V61" s="47"/>
      <c r="W61" s="47"/>
      <c r="X61" s="47"/>
      <c r="Y61" s="47"/>
      <c r="Z61" s="47"/>
      <c r="AA61" s="31">
        <v>36</v>
      </c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BA61" s="27">
        <f t="shared" ca="1" si="40"/>
        <v>46981</v>
      </c>
      <c r="BC61" s="26" t="str">
        <f t="shared" ca="1" si="16"/>
        <v>2028</v>
      </c>
      <c r="BD61" s="26" t="str">
        <f t="shared" ca="1" si="17"/>
        <v>08</v>
      </c>
      <c r="BE61" s="26">
        <f t="shared" ca="1" si="18"/>
        <v>16</v>
      </c>
      <c r="BF61" s="27" t="str">
        <f t="shared" ca="1" si="19"/>
        <v>miércoles</v>
      </c>
      <c r="BG61" s="27">
        <f t="shared" ca="1" si="20"/>
        <v>46981</v>
      </c>
      <c r="BK61" s="26" t="str">
        <f t="shared" ca="1" si="22"/>
        <v>2028</v>
      </c>
      <c r="BL61" s="26" t="str">
        <f t="shared" ca="1" si="25"/>
        <v>09</v>
      </c>
      <c r="BM61" s="26">
        <f t="shared" ca="1" si="24"/>
        <v>1</v>
      </c>
      <c r="BN61" s="26" t="str">
        <f t="shared" ca="1" si="21"/>
        <v>viernes</v>
      </c>
      <c r="BO61" s="27">
        <f t="shared" ca="1" si="35"/>
        <v>46997</v>
      </c>
    </row>
    <row r="62" spans="3:67" s="26" customFormat="1" ht="12">
      <c r="C62" s="50">
        <v>37</v>
      </c>
      <c r="D62" s="39" t="str">
        <f t="shared" si="36"/>
        <v>-</v>
      </c>
      <c r="E62" s="81" t="str">
        <f t="shared" si="26"/>
        <v>-</v>
      </c>
      <c r="F62" s="78" t="str">
        <f>IF($E$7&gt;=C62,E62-E61,"-")</f>
        <v>-</v>
      </c>
      <c r="G62" s="51" t="str">
        <f t="shared" si="38"/>
        <v>-</v>
      </c>
      <c r="H62" s="41" t="str">
        <f t="shared" si="27"/>
        <v>-</v>
      </c>
      <c r="I62" s="42" t="str">
        <f t="shared" si="39"/>
        <v>-</v>
      </c>
      <c r="J62" s="42" t="str">
        <f t="shared" si="28"/>
        <v>-</v>
      </c>
      <c r="K62" s="42" t="str">
        <f t="shared" si="29"/>
        <v>-</v>
      </c>
      <c r="L62" s="42" t="str">
        <f t="shared" si="30"/>
        <v>-</v>
      </c>
      <c r="M62" s="52" t="str">
        <f t="shared" si="31"/>
        <v>-</v>
      </c>
      <c r="N62" s="48" t="str">
        <f>IF($E$7&gt;=C62,(IF(((Q62-(K62+(J61 * -1)+1))&lt;=0),1,((SUM(J$26:$J62)-(SUM($O$25:$O$27)))))),"-")</f>
        <v>-</v>
      </c>
      <c r="O62" s="45" t="str">
        <f>IF($E$7&gt;=C62,(IF((N62&lt;=0),1,((SUM($J$26:J62)-(SUM($O$25:O61)))))),"-")</f>
        <v>-</v>
      </c>
      <c r="P62" s="42" t="str">
        <f t="shared" si="32"/>
        <v>-</v>
      </c>
      <c r="Q62" s="46" t="str">
        <f t="shared" si="33"/>
        <v>-</v>
      </c>
      <c r="R62" s="47"/>
      <c r="S62" s="46" t="str">
        <f t="shared" si="34"/>
        <v>-</v>
      </c>
      <c r="T62" s="47"/>
      <c r="U62" s="47" t="str">
        <f t="shared" si="14"/>
        <v>-</v>
      </c>
      <c r="V62" s="47"/>
      <c r="W62" s="47"/>
      <c r="X62" s="47"/>
      <c r="Y62" s="47"/>
      <c r="Z62" s="47"/>
      <c r="AA62" s="31">
        <v>37</v>
      </c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BA62" s="27" t="str">
        <f t="shared" si="40"/>
        <v>-</v>
      </c>
      <c r="BC62" s="26" t="str">
        <f t="shared" ref="BC62:BC73" ca="1" si="41">IF(VALUE(BD61)=12,TEXT(VALUE(BC61)+1,"0000"),BC61)</f>
        <v>2028</v>
      </c>
      <c r="BD62" s="26" t="str">
        <f t="shared" ref="BD62:BD97" ca="1" si="42">IF(VALUE(BD61)=12,"01",TEXT(VALUE(BD61)+1,"00"))</f>
        <v>09</v>
      </c>
      <c r="BE62" s="26">
        <f t="shared" ref="BE62:BE97" ca="1" si="43">BE61</f>
        <v>16</v>
      </c>
      <c r="BF62" s="27" t="str">
        <f t="shared" ca="1" si="19"/>
        <v>sábado</v>
      </c>
      <c r="BG62" s="27">
        <f t="shared" ca="1" si="20"/>
        <v>47012</v>
      </c>
      <c r="BK62" s="26" t="str">
        <f t="shared" ca="1" si="22"/>
        <v>2028</v>
      </c>
      <c r="BL62" s="26" t="str">
        <f t="shared" ca="1" si="25"/>
        <v>10</v>
      </c>
      <c r="BM62" s="26">
        <f t="shared" ca="1" si="24"/>
        <v>1</v>
      </c>
      <c r="BN62" s="26" t="str">
        <f t="shared" ca="1" si="21"/>
        <v>domingo</v>
      </c>
      <c r="BO62" s="27" t="str">
        <f t="shared" si="35"/>
        <v>-</v>
      </c>
    </row>
    <row r="63" spans="3:67" s="26" customFormat="1" ht="12">
      <c r="C63" s="50">
        <v>38</v>
      </c>
      <c r="D63" s="39" t="str">
        <f t="shared" si="36"/>
        <v>-</v>
      </c>
      <c r="E63" s="81" t="str">
        <f t="shared" si="26"/>
        <v>-</v>
      </c>
      <c r="F63" s="78" t="str">
        <f t="shared" si="37"/>
        <v>-</v>
      </c>
      <c r="G63" s="51" t="str">
        <f t="shared" si="38"/>
        <v>-</v>
      </c>
      <c r="H63" s="41" t="str">
        <f t="shared" si="27"/>
        <v>-</v>
      </c>
      <c r="I63" s="42" t="str">
        <f t="shared" si="39"/>
        <v>-</v>
      </c>
      <c r="J63" s="42" t="str">
        <f t="shared" si="28"/>
        <v>-</v>
      </c>
      <c r="K63" s="42" t="str">
        <f t="shared" si="29"/>
        <v>-</v>
      </c>
      <c r="L63" s="42" t="str">
        <f t="shared" si="30"/>
        <v>-</v>
      </c>
      <c r="M63" s="52" t="str">
        <f t="shared" si="31"/>
        <v>-</v>
      </c>
      <c r="N63" s="48" t="str">
        <f>IF($E$7&gt;=C63,(IF(((Q63-(K63+(J62 * -1)+1))&lt;=0),1,((SUM(J$26:$J63)-(SUM($O$25:$O$27)))))),"-")</f>
        <v>-</v>
      </c>
      <c r="O63" s="45" t="str">
        <f>IF($E$7&gt;=C63,(IF((N63&lt;=0),1,((SUM($J$26:J63)-(SUM($O$25:O62)))))),"-")</f>
        <v>-</v>
      </c>
      <c r="P63" s="42" t="str">
        <f t="shared" si="32"/>
        <v>-</v>
      </c>
      <c r="Q63" s="46" t="str">
        <f t="shared" si="33"/>
        <v>-</v>
      </c>
      <c r="R63" s="47"/>
      <c r="S63" s="46" t="str">
        <f t="shared" si="34"/>
        <v>-</v>
      </c>
      <c r="T63" s="47"/>
      <c r="U63" s="47" t="str">
        <f t="shared" si="14"/>
        <v>-</v>
      </c>
      <c r="V63" s="47"/>
      <c r="W63" s="47"/>
      <c r="X63" s="47"/>
      <c r="Y63" s="47"/>
      <c r="Z63" s="47"/>
      <c r="AA63" s="31">
        <v>38</v>
      </c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BA63" s="27" t="str">
        <f t="shared" si="40"/>
        <v>-</v>
      </c>
      <c r="BC63" s="26" t="str">
        <f t="shared" ca="1" si="41"/>
        <v>2028</v>
      </c>
      <c r="BD63" s="26" t="str">
        <f t="shared" ca="1" si="42"/>
        <v>10</v>
      </c>
      <c r="BE63" s="26">
        <f t="shared" ca="1" si="43"/>
        <v>16</v>
      </c>
      <c r="BF63" s="27" t="str">
        <f t="shared" ca="1" si="19"/>
        <v>lunes</v>
      </c>
      <c r="BG63" s="27">
        <f t="shared" ca="1" si="20"/>
        <v>47042</v>
      </c>
      <c r="BK63" s="26" t="str">
        <f t="shared" ca="1" si="22"/>
        <v>2028</v>
      </c>
      <c r="BL63" s="26" t="str">
        <f t="shared" ca="1" si="25"/>
        <v>11</v>
      </c>
      <c r="BM63" s="26">
        <f t="shared" ca="1" si="24"/>
        <v>1</v>
      </c>
      <c r="BN63" s="26" t="str">
        <f t="shared" ca="1" si="21"/>
        <v>miércoles</v>
      </c>
      <c r="BO63" s="27" t="str">
        <f t="shared" si="35"/>
        <v>-</v>
      </c>
    </row>
    <row r="64" spans="3:67" s="26" customFormat="1" ht="12">
      <c r="C64" s="50">
        <v>39</v>
      </c>
      <c r="D64" s="39" t="str">
        <f t="shared" si="36"/>
        <v>-</v>
      </c>
      <c r="E64" s="81" t="str">
        <f t="shared" si="26"/>
        <v>-</v>
      </c>
      <c r="F64" s="78" t="str">
        <f t="shared" si="37"/>
        <v>-</v>
      </c>
      <c r="G64" s="51" t="str">
        <f t="shared" si="38"/>
        <v>-</v>
      </c>
      <c r="H64" s="41" t="str">
        <f t="shared" si="27"/>
        <v>-</v>
      </c>
      <c r="I64" s="42" t="str">
        <f t="shared" si="39"/>
        <v>-</v>
      </c>
      <c r="J64" s="42" t="str">
        <f t="shared" si="28"/>
        <v>-</v>
      </c>
      <c r="K64" s="42" t="str">
        <f t="shared" si="29"/>
        <v>-</v>
      </c>
      <c r="L64" s="42" t="str">
        <f t="shared" si="30"/>
        <v>-</v>
      </c>
      <c r="M64" s="52" t="str">
        <f t="shared" si="31"/>
        <v>-</v>
      </c>
      <c r="N64" s="48" t="str">
        <f>IF($E$7&gt;=C64,(IF(((Q64-(K64+(J63 * -1)+1))&lt;=0),1,((SUM(J$26:$J64)-(SUM($O$25:$O$27)))))),"-")</f>
        <v>-</v>
      </c>
      <c r="O64" s="45" t="str">
        <f>IF($E$7&gt;=C64,(IF((N64&lt;=0),1,((SUM($J$26:J64)-(SUM($O$25:O63)))))),"-")</f>
        <v>-</v>
      </c>
      <c r="P64" s="42" t="str">
        <f t="shared" si="32"/>
        <v>-</v>
      </c>
      <c r="Q64" s="46" t="str">
        <f t="shared" si="33"/>
        <v>-</v>
      </c>
      <c r="R64" s="47"/>
      <c r="S64" s="46" t="str">
        <f t="shared" si="34"/>
        <v>-</v>
      </c>
      <c r="T64" s="47"/>
      <c r="U64" s="47" t="str">
        <f t="shared" si="14"/>
        <v>-</v>
      </c>
      <c r="V64" s="47"/>
      <c r="W64" s="47"/>
      <c r="X64" s="47"/>
      <c r="Y64" s="47"/>
      <c r="Z64" s="47"/>
      <c r="AA64" s="31">
        <v>39</v>
      </c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BA64" s="27" t="str">
        <f t="shared" si="40"/>
        <v>-</v>
      </c>
      <c r="BC64" s="26" t="str">
        <f t="shared" ca="1" si="41"/>
        <v>2028</v>
      </c>
      <c r="BD64" s="26" t="str">
        <f t="shared" ca="1" si="42"/>
        <v>11</v>
      </c>
      <c r="BE64" s="26">
        <f t="shared" ca="1" si="43"/>
        <v>16</v>
      </c>
      <c r="BF64" s="27" t="str">
        <f t="shared" ca="1" si="19"/>
        <v>jueves</v>
      </c>
      <c r="BG64" s="27">
        <f t="shared" ca="1" si="20"/>
        <v>47073</v>
      </c>
      <c r="BK64" s="26" t="str">
        <f t="shared" ca="1" si="22"/>
        <v>2028</v>
      </c>
      <c r="BL64" s="26" t="str">
        <f t="shared" ca="1" si="25"/>
        <v>12</v>
      </c>
      <c r="BM64" s="26">
        <f t="shared" ca="1" si="24"/>
        <v>1</v>
      </c>
      <c r="BN64" s="26" t="str">
        <f t="shared" ca="1" si="21"/>
        <v>viernes</v>
      </c>
      <c r="BO64" s="27" t="str">
        <f t="shared" si="35"/>
        <v>-</v>
      </c>
    </row>
    <row r="65" spans="3:67" s="26" customFormat="1" ht="12">
      <c r="C65" s="50">
        <v>40</v>
      </c>
      <c r="D65" s="39" t="str">
        <f t="shared" si="36"/>
        <v>-</v>
      </c>
      <c r="E65" s="81" t="str">
        <f t="shared" si="26"/>
        <v>-</v>
      </c>
      <c r="F65" s="78" t="str">
        <f t="shared" si="37"/>
        <v>-</v>
      </c>
      <c r="G65" s="51" t="str">
        <f t="shared" si="38"/>
        <v>-</v>
      </c>
      <c r="H65" s="41" t="str">
        <f t="shared" si="27"/>
        <v>-</v>
      </c>
      <c r="I65" s="42" t="str">
        <f t="shared" si="39"/>
        <v>-</v>
      </c>
      <c r="J65" s="42" t="str">
        <f t="shared" si="28"/>
        <v>-</v>
      </c>
      <c r="K65" s="42" t="str">
        <f t="shared" si="29"/>
        <v>-</v>
      </c>
      <c r="L65" s="42" t="str">
        <f t="shared" si="30"/>
        <v>-</v>
      </c>
      <c r="M65" s="52" t="str">
        <f t="shared" si="31"/>
        <v>-</v>
      </c>
      <c r="N65" s="48" t="str">
        <f>IF($E$7&gt;=C65,(IF(((Q65-(K65+(J64 * -1)+1))&lt;=0),1,((SUM(J$26:$J65)-(SUM($O$25:$O$27)))))),"-")</f>
        <v>-</v>
      </c>
      <c r="O65" s="45" t="str">
        <f>IF($E$7&gt;=C65,(IF((N65&lt;=0),1,((SUM($J$26:J65)-(SUM($O$25:O64)))))),"-")</f>
        <v>-</v>
      </c>
      <c r="P65" s="42" t="str">
        <f t="shared" si="32"/>
        <v>-</v>
      </c>
      <c r="Q65" s="46" t="str">
        <f t="shared" si="33"/>
        <v>-</v>
      </c>
      <c r="R65" s="47"/>
      <c r="S65" s="46" t="str">
        <f t="shared" si="34"/>
        <v>-</v>
      </c>
      <c r="T65" s="47"/>
      <c r="U65" s="47" t="str">
        <f t="shared" si="14"/>
        <v>-</v>
      </c>
      <c r="V65" s="47"/>
      <c r="W65" s="47"/>
      <c r="X65" s="47"/>
      <c r="Y65" s="47"/>
      <c r="Z65" s="47"/>
      <c r="AA65" s="31">
        <v>40</v>
      </c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BA65" s="27" t="str">
        <f t="shared" si="40"/>
        <v>-</v>
      </c>
      <c r="BC65" s="26" t="str">
        <f t="shared" ca="1" si="41"/>
        <v>2028</v>
      </c>
      <c r="BD65" s="26" t="str">
        <f t="shared" ca="1" si="42"/>
        <v>12</v>
      </c>
      <c r="BE65" s="26">
        <f t="shared" ca="1" si="43"/>
        <v>16</v>
      </c>
      <c r="BF65" s="27" t="str">
        <f t="shared" ca="1" si="19"/>
        <v>sábado</v>
      </c>
      <c r="BG65" s="27">
        <f t="shared" ca="1" si="20"/>
        <v>47103</v>
      </c>
      <c r="BK65" s="26" t="str">
        <f t="shared" ca="1" si="22"/>
        <v>2029</v>
      </c>
      <c r="BL65" s="26" t="str">
        <f t="shared" ca="1" si="25"/>
        <v>01</v>
      </c>
      <c r="BM65" s="26">
        <f t="shared" ca="1" si="24"/>
        <v>1</v>
      </c>
      <c r="BN65" s="26" t="str">
        <f t="shared" ca="1" si="21"/>
        <v>lunes</v>
      </c>
      <c r="BO65" s="27" t="str">
        <f t="shared" si="35"/>
        <v>-</v>
      </c>
    </row>
    <row r="66" spans="3:67" s="26" customFormat="1" ht="12">
      <c r="C66" s="50">
        <v>41</v>
      </c>
      <c r="D66" s="39" t="str">
        <f t="shared" si="36"/>
        <v>-</v>
      </c>
      <c r="E66" s="81" t="str">
        <f t="shared" si="26"/>
        <v>-</v>
      </c>
      <c r="F66" s="78" t="str">
        <f t="shared" si="37"/>
        <v>-</v>
      </c>
      <c r="G66" s="51" t="str">
        <f t="shared" si="38"/>
        <v>-</v>
      </c>
      <c r="H66" s="41" t="str">
        <f t="shared" si="27"/>
        <v>-</v>
      </c>
      <c r="I66" s="42" t="str">
        <f t="shared" si="39"/>
        <v>-</v>
      </c>
      <c r="J66" s="42" t="str">
        <f t="shared" si="28"/>
        <v>-</v>
      </c>
      <c r="K66" s="42" t="str">
        <f t="shared" si="29"/>
        <v>-</v>
      </c>
      <c r="L66" s="42" t="str">
        <f t="shared" si="30"/>
        <v>-</v>
      </c>
      <c r="M66" s="52" t="str">
        <f t="shared" si="31"/>
        <v>-</v>
      </c>
      <c r="N66" s="48" t="str">
        <f>IF($E$7&gt;=C66,(IF(((Q66-(K66+(J65 * -1)+1))&lt;=0),1,((SUM(J$26:$J66)-(SUM($O$25:$O$27)))))),"-")</f>
        <v>-</v>
      </c>
      <c r="O66" s="45" t="str">
        <f>IF($E$7&gt;=C66,(IF((N66&lt;=0),1,((SUM($J$26:J66)-(SUM($O$25:O65)))))),"-")</f>
        <v>-</v>
      </c>
      <c r="P66" s="42" t="str">
        <f t="shared" si="32"/>
        <v>-</v>
      </c>
      <c r="Q66" s="46" t="str">
        <f t="shared" si="33"/>
        <v>-</v>
      </c>
      <c r="R66" s="47"/>
      <c r="S66" s="46" t="str">
        <f t="shared" si="34"/>
        <v>-</v>
      </c>
      <c r="T66" s="47"/>
      <c r="U66" s="47" t="str">
        <f t="shared" si="14"/>
        <v>-</v>
      </c>
      <c r="V66" s="47"/>
      <c r="W66" s="47"/>
      <c r="X66" s="47"/>
      <c r="Y66" s="47"/>
      <c r="Z66" s="47"/>
      <c r="AA66" s="31">
        <v>41</v>
      </c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BA66" s="27" t="str">
        <f t="shared" si="40"/>
        <v>-</v>
      </c>
      <c r="BC66" s="26" t="str">
        <f t="shared" ca="1" si="41"/>
        <v>2029</v>
      </c>
      <c r="BD66" s="26" t="str">
        <f t="shared" ca="1" si="42"/>
        <v>01</v>
      </c>
      <c r="BE66" s="26">
        <f t="shared" ca="1" si="43"/>
        <v>16</v>
      </c>
      <c r="BF66" s="27" t="str">
        <f t="shared" ca="1" si="19"/>
        <v>martes</v>
      </c>
      <c r="BG66" s="27">
        <f t="shared" ca="1" si="20"/>
        <v>47134</v>
      </c>
      <c r="BK66" s="26" t="str">
        <f t="shared" ca="1" si="22"/>
        <v>2029</v>
      </c>
      <c r="BL66" s="26" t="str">
        <f t="shared" ca="1" si="25"/>
        <v>02</v>
      </c>
      <c r="BM66" s="26">
        <f t="shared" ca="1" si="24"/>
        <v>1</v>
      </c>
      <c r="BN66" s="26" t="str">
        <f t="shared" ca="1" si="21"/>
        <v>jueves</v>
      </c>
      <c r="BO66" s="27" t="str">
        <f t="shared" si="35"/>
        <v>-</v>
      </c>
    </row>
    <row r="67" spans="3:67" s="26" customFormat="1" ht="12">
      <c r="C67" s="50">
        <v>42</v>
      </c>
      <c r="D67" s="39" t="str">
        <f t="shared" si="36"/>
        <v>-</v>
      </c>
      <c r="E67" s="81" t="str">
        <f t="shared" si="26"/>
        <v>-</v>
      </c>
      <c r="F67" s="78" t="str">
        <f t="shared" si="37"/>
        <v>-</v>
      </c>
      <c r="G67" s="51" t="str">
        <f t="shared" si="38"/>
        <v>-</v>
      </c>
      <c r="H67" s="41" t="str">
        <f t="shared" si="27"/>
        <v>-</v>
      </c>
      <c r="I67" s="42" t="str">
        <f t="shared" si="39"/>
        <v>-</v>
      </c>
      <c r="J67" s="42" t="str">
        <f t="shared" si="28"/>
        <v>-</v>
      </c>
      <c r="K67" s="42" t="str">
        <f t="shared" si="29"/>
        <v>-</v>
      </c>
      <c r="L67" s="42" t="str">
        <f t="shared" si="30"/>
        <v>-</v>
      </c>
      <c r="M67" s="52" t="str">
        <f t="shared" si="31"/>
        <v>-</v>
      </c>
      <c r="N67" s="48" t="str">
        <f>IF($E$7&gt;=C67,(IF(((Q67-(K67+(J66 * -1)+1))&lt;=0),1,((SUM(J$26:$J67)-(SUM($O$25:$O$27)))))),"-")</f>
        <v>-</v>
      </c>
      <c r="O67" s="45" t="str">
        <f>IF($E$7&gt;=C67,(IF((N67&lt;=0),1,((SUM($J$26:J67)-(SUM($O$25:O66)))))),"-")</f>
        <v>-</v>
      </c>
      <c r="P67" s="42" t="str">
        <f t="shared" si="32"/>
        <v>-</v>
      </c>
      <c r="Q67" s="46" t="str">
        <f t="shared" si="33"/>
        <v>-</v>
      </c>
      <c r="R67" s="47"/>
      <c r="S67" s="46" t="str">
        <f t="shared" si="34"/>
        <v>-</v>
      </c>
      <c r="T67" s="47"/>
      <c r="U67" s="47" t="str">
        <f t="shared" si="14"/>
        <v>-</v>
      </c>
      <c r="V67" s="47"/>
      <c r="W67" s="47"/>
      <c r="X67" s="47"/>
      <c r="Y67" s="47"/>
      <c r="Z67" s="47"/>
      <c r="AA67" s="31">
        <v>42</v>
      </c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BA67" s="27" t="str">
        <f t="shared" si="40"/>
        <v>-</v>
      </c>
      <c r="BC67" s="26" t="str">
        <f t="shared" ca="1" si="41"/>
        <v>2029</v>
      </c>
      <c r="BD67" s="26" t="str">
        <f t="shared" ca="1" si="42"/>
        <v>02</v>
      </c>
      <c r="BE67" s="26">
        <f t="shared" ca="1" si="43"/>
        <v>16</v>
      </c>
      <c r="BF67" s="27" t="str">
        <f t="shared" ca="1" si="19"/>
        <v>viernes</v>
      </c>
      <c r="BG67" s="27">
        <f t="shared" ca="1" si="20"/>
        <v>47165</v>
      </c>
      <c r="BK67" s="26" t="str">
        <f t="shared" ca="1" si="22"/>
        <v>2029</v>
      </c>
      <c r="BL67" s="26" t="str">
        <f t="shared" ca="1" si="25"/>
        <v>03</v>
      </c>
      <c r="BM67" s="26">
        <f t="shared" ca="1" si="24"/>
        <v>1</v>
      </c>
      <c r="BN67" s="26" t="str">
        <f t="shared" ca="1" si="21"/>
        <v>jueves</v>
      </c>
      <c r="BO67" s="27" t="str">
        <f t="shared" si="35"/>
        <v>-</v>
      </c>
    </row>
    <row r="68" spans="3:67" s="26" customFormat="1" ht="12">
      <c r="C68" s="50">
        <v>43</v>
      </c>
      <c r="D68" s="39" t="str">
        <f t="shared" si="36"/>
        <v>-</v>
      </c>
      <c r="E68" s="81" t="str">
        <f t="shared" si="26"/>
        <v>-</v>
      </c>
      <c r="F68" s="78" t="str">
        <f t="shared" si="37"/>
        <v>-</v>
      </c>
      <c r="G68" s="51" t="str">
        <f t="shared" si="38"/>
        <v>-</v>
      </c>
      <c r="H68" s="41" t="str">
        <f t="shared" si="27"/>
        <v>-</v>
      </c>
      <c r="I68" s="42" t="str">
        <f t="shared" si="39"/>
        <v>-</v>
      </c>
      <c r="J68" s="42" t="str">
        <f t="shared" si="28"/>
        <v>-</v>
      </c>
      <c r="K68" s="42" t="str">
        <f t="shared" si="29"/>
        <v>-</v>
      </c>
      <c r="L68" s="42" t="str">
        <f t="shared" si="30"/>
        <v>-</v>
      </c>
      <c r="M68" s="52" t="str">
        <f t="shared" si="31"/>
        <v>-</v>
      </c>
      <c r="N68" s="48" t="str">
        <f>IF($E$7&gt;=C68,(IF(((Q68-(K68+(J67 * -1)+1))&lt;=0),1,((SUM(J$26:$J68)-(SUM($O$25:$O$27)))))),"-")</f>
        <v>-</v>
      </c>
      <c r="O68" s="45" t="str">
        <f>IF($E$7&gt;=C68,(IF((N68&lt;=0),1,((SUM($J$26:J68)-(SUM($O$25:O67)))))),"-")</f>
        <v>-</v>
      </c>
      <c r="P68" s="42" t="str">
        <f t="shared" si="32"/>
        <v>-</v>
      </c>
      <c r="Q68" s="46" t="str">
        <f t="shared" si="33"/>
        <v>-</v>
      </c>
      <c r="R68" s="47"/>
      <c r="S68" s="46" t="str">
        <f t="shared" si="34"/>
        <v>-</v>
      </c>
      <c r="T68" s="47"/>
      <c r="U68" s="47" t="str">
        <f t="shared" si="14"/>
        <v>-</v>
      </c>
      <c r="V68" s="47"/>
      <c r="W68" s="47"/>
      <c r="X68" s="47"/>
      <c r="Y68" s="47"/>
      <c r="Z68" s="47"/>
      <c r="AA68" s="31">
        <v>43</v>
      </c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BA68" s="27" t="str">
        <f t="shared" si="40"/>
        <v>-</v>
      </c>
      <c r="BC68" s="26" t="str">
        <f t="shared" ca="1" si="41"/>
        <v>2029</v>
      </c>
      <c r="BD68" s="26" t="str">
        <f t="shared" ca="1" si="42"/>
        <v>03</v>
      </c>
      <c r="BE68" s="26">
        <f t="shared" ca="1" si="43"/>
        <v>16</v>
      </c>
      <c r="BF68" s="27" t="str">
        <f t="shared" ca="1" si="19"/>
        <v>viernes</v>
      </c>
      <c r="BG68" s="27">
        <f t="shared" ca="1" si="20"/>
        <v>47193</v>
      </c>
      <c r="BK68" s="26" t="str">
        <f t="shared" ca="1" si="22"/>
        <v>2029</v>
      </c>
      <c r="BL68" s="26" t="str">
        <f t="shared" ca="1" si="25"/>
        <v>04</v>
      </c>
      <c r="BM68" s="26">
        <f t="shared" ca="1" si="24"/>
        <v>1</v>
      </c>
      <c r="BN68" s="26" t="str">
        <f t="shared" ca="1" si="21"/>
        <v>domingo</v>
      </c>
      <c r="BO68" s="27" t="str">
        <f t="shared" si="35"/>
        <v>-</v>
      </c>
    </row>
    <row r="69" spans="3:67" s="26" customFormat="1" ht="12">
      <c r="C69" s="50">
        <v>44</v>
      </c>
      <c r="D69" s="39" t="str">
        <f t="shared" si="36"/>
        <v>-</v>
      </c>
      <c r="E69" s="81" t="str">
        <f t="shared" si="26"/>
        <v>-</v>
      </c>
      <c r="F69" s="78" t="str">
        <f t="shared" si="37"/>
        <v>-</v>
      </c>
      <c r="G69" s="51" t="str">
        <f t="shared" si="38"/>
        <v>-</v>
      </c>
      <c r="H69" s="41" t="str">
        <f t="shared" si="27"/>
        <v>-</v>
      </c>
      <c r="I69" s="42" t="str">
        <f t="shared" si="39"/>
        <v>-</v>
      </c>
      <c r="J69" s="42" t="str">
        <f t="shared" si="28"/>
        <v>-</v>
      </c>
      <c r="K69" s="42" t="str">
        <f t="shared" si="29"/>
        <v>-</v>
      </c>
      <c r="L69" s="42" t="str">
        <f t="shared" si="30"/>
        <v>-</v>
      </c>
      <c r="M69" s="52" t="str">
        <f t="shared" si="31"/>
        <v>-</v>
      </c>
      <c r="N69" s="48" t="str">
        <f>IF($E$7&gt;=C69,(IF(((Q69-(K69+(J68 * -1)+1))&lt;=0),1,((SUM(J$26:$J69)-(SUM($O$25:$O$27)))))),"-")</f>
        <v>-</v>
      </c>
      <c r="O69" s="45" t="str">
        <f>IF($E$7&gt;=C69,(IF((N69&lt;=0),1,((SUM($J$26:J69)-(SUM($O$25:O68)))))),"-")</f>
        <v>-</v>
      </c>
      <c r="P69" s="42" t="str">
        <f t="shared" si="32"/>
        <v>-</v>
      </c>
      <c r="Q69" s="46" t="str">
        <f t="shared" si="33"/>
        <v>-</v>
      </c>
      <c r="R69" s="47"/>
      <c r="S69" s="46" t="str">
        <f t="shared" si="34"/>
        <v>-</v>
      </c>
      <c r="T69" s="47"/>
      <c r="U69" s="47" t="str">
        <f t="shared" si="14"/>
        <v>-</v>
      </c>
      <c r="V69" s="47"/>
      <c r="W69" s="47"/>
      <c r="X69" s="47"/>
      <c r="Y69" s="47"/>
      <c r="Z69" s="47"/>
      <c r="AA69" s="31">
        <v>44</v>
      </c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BA69" s="27" t="str">
        <f t="shared" si="40"/>
        <v>-</v>
      </c>
      <c r="BC69" s="26" t="str">
        <f t="shared" ca="1" si="41"/>
        <v>2029</v>
      </c>
      <c r="BD69" s="26" t="str">
        <f t="shared" ca="1" si="42"/>
        <v>04</v>
      </c>
      <c r="BE69" s="26">
        <f t="shared" ca="1" si="43"/>
        <v>16</v>
      </c>
      <c r="BF69" s="27" t="str">
        <f t="shared" ca="1" si="19"/>
        <v>lunes</v>
      </c>
      <c r="BG69" s="27">
        <f t="shared" ca="1" si="20"/>
        <v>47224</v>
      </c>
      <c r="BK69" s="26" t="str">
        <f t="shared" ca="1" si="22"/>
        <v>2029</v>
      </c>
      <c r="BL69" s="26" t="str">
        <f t="shared" ca="1" si="25"/>
        <v>05</v>
      </c>
      <c r="BM69" s="26">
        <f t="shared" ca="1" si="24"/>
        <v>1</v>
      </c>
      <c r="BN69" s="26" t="str">
        <f t="shared" ca="1" si="21"/>
        <v>martes</v>
      </c>
      <c r="BO69" s="27" t="str">
        <f t="shared" si="35"/>
        <v>-</v>
      </c>
    </row>
    <row r="70" spans="3:67" s="26" customFormat="1" ht="12">
      <c r="C70" s="50">
        <v>45</v>
      </c>
      <c r="D70" s="39" t="str">
        <f t="shared" si="36"/>
        <v>-</v>
      </c>
      <c r="E70" s="81" t="str">
        <f t="shared" si="26"/>
        <v>-</v>
      </c>
      <c r="F70" s="78" t="str">
        <f t="shared" si="37"/>
        <v>-</v>
      </c>
      <c r="G70" s="51" t="str">
        <f t="shared" si="38"/>
        <v>-</v>
      </c>
      <c r="H70" s="41" t="str">
        <f t="shared" si="27"/>
        <v>-</v>
      </c>
      <c r="I70" s="42" t="str">
        <f t="shared" si="39"/>
        <v>-</v>
      </c>
      <c r="J70" s="42" t="str">
        <f t="shared" si="28"/>
        <v>-</v>
      </c>
      <c r="K70" s="42" t="str">
        <f t="shared" si="29"/>
        <v>-</v>
      </c>
      <c r="L70" s="42" t="str">
        <f t="shared" si="30"/>
        <v>-</v>
      </c>
      <c r="M70" s="52" t="str">
        <f t="shared" si="31"/>
        <v>-</v>
      </c>
      <c r="N70" s="48" t="str">
        <f>IF($E$7&gt;=C70,(IF(((Q70-(K70+(J69 * -1)+1))&lt;=0),1,((SUM(J$26:$J70)-(SUM($O$25:$O$27)))))),"-")</f>
        <v>-</v>
      </c>
      <c r="O70" s="45" t="str">
        <f>IF($E$7&gt;=C70,(IF((N70&lt;=0),1,((SUM($J$26:J70)-(SUM($O$25:O69)))))),"-")</f>
        <v>-</v>
      </c>
      <c r="P70" s="42" t="str">
        <f t="shared" si="32"/>
        <v>-</v>
      </c>
      <c r="Q70" s="46" t="str">
        <f t="shared" si="33"/>
        <v>-</v>
      </c>
      <c r="R70" s="47"/>
      <c r="S70" s="46" t="str">
        <f t="shared" si="34"/>
        <v>-</v>
      </c>
      <c r="T70" s="47"/>
      <c r="U70" s="47" t="str">
        <f t="shared" si="14"/>
        <v>-</v>
      </c>
      <c r="V70" s="47"/>
      <c r="W70" s="47"/>
      <c r="X70" s="47"/>
      <c r="Y70" s="47"/>
      <c r="Z70" s="47"/>
      <c r="AA70" s="31">
        <v>45</v>
      </c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BA70" s="27" t="str">
        <f t="shared" si="40"/>
        <v>-</v>
      </c>
      <c r="BC70" s="26" t="str">
        <f t="shared" ca="1" si="41"/>
        <v>2029</v>
      </c>
      <c r="BD70" s="26" t="str">
        <f t="shared" ca="1" si="42"/>
        <v>05</v>
      </c>
      <c r="BE70" s="26">
        <f t="shared" ca="1" si="43"/>
        <v>16</v>
      </c>
      <c r="BF70" s="27" t="str">
        <f t="shared" ca="1" si="19"/>
        <v>miércoles</v>
      </c>
      <c r="BG70" s="27">
        <f t="shared" ca="1" si="20"/>
        <v>47254</v>
      </c>
      <c r="BK70" s="26" t="str">
        <f t="shared" ca="1" si="22"/>
        <v>2029</v>
      </c>
      <c r="BL70" s="26" t="str">
        <f t="shared" ca="1" si="25"/>
        <v>06</v>
      </c>
      <c r="BM70" s="26">
        <f t="shared" ca="1" si="24"/>
        <v>1</v>
      </c>
      <c r="BN70" s="26" t="str">
        <f t="shared" ca="1" si="21"/>
        <v>viernes</v>
      </c>
      <c r="BO70" s="27" t="str">
        <f t="shared" si="35"/>
        <v>-</v>
      </c>
    </row>
    <row r="71" spans="3:67" s="26" customFormat="1" ht="12">
      <c r="C71" s="50">
        <v>46</v>
      </c>
      <c r="D71" s="39" t="str">
        <f t="shared" si="36"/>
        <v>-</v>
      </c>
      <c r="E71" s="81" t="str">
        <f t="shared" si="26"/>
        <v>-</v>
      </c>
      <c r="F71" s="78" t="str">
        <f t="shared" si="37"/>
        <v>-</v>
      </c>
      <c r="G71" s="51" t="str">
        <f t="shared" si="38"/>
        <v>-</v>
      </c>
      <c r="H71" s="41" t="str">
        <f t="shared" si="27"/>
        <v>-</v>
      </c>
      <c r="I71" s="42" t="str">
        <f t="shared" si="39"/>
        <v>-</v>
      </c>
      <c r="J71" s="42" t="str">
        <f t="shared" si="28"/>
        <v>-</v>
      </c>
      <c r="K71" s="42" t="str">
        <f t="shared" si="29"/>
        <v>-</v>
      </c>
      <c r="L71" s="42" t="str">
        <f t="shared" si="30"/>
        <v>-</v>
      </c>
      <c r="M71" s="52" t="str">
        <f t="shared" si="31"/>
        <v>-</v>
      </c>
      <c r="N71" s="48" t="str">
        <f>IF($E$7&gt;=C71,(IF(((Q71-(K71+(J70 * -1)+1))&lt;=0),1,((SUM(J$26:$J71)-(SUM($O$25:$O$27)))))),"-")</f>
        <v>-</v>
      </c>
      <c r="O71" s="45" t="str">
        <f>IF($E$7&gt;=C71,(IF((N71&lt;=0),1,((SUM($J$26:J71)-(SUM($O$25:O70)))))),"-")</f>
        <v>-</v>
      </c>
      <c r="P71" s="42" t="str">
        <f t="shared" si="32"/>
        <v>-</v>
      </c>
      <c r="Q71" s="46" t="str">
        <f t="shared" si="33"/>
        <v>-</v>
      </c>
      <c r="R71" s="47"/>
      <c r="S71" s="46" t="str">
        <f t="shared" si="34"/>
        <v>-</v>
      </c>
      <c r="T71" s="47"/>
      <c r="U71" s="47" t="str">
        <f t="shared" si="14"/>
        <v>-</v>
      </c>
      <c r="V71" s="47"/>
      <c r="W71" s="47"/>
      <c r="X71" s="47"/>
      <c r="Y71" s="47"/>
      <c r="Z71" s="47"/>
      <c r="AA71" s="31">
        <v>46</v>
      </c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BA71" s="27" t="str">
        <f t="shared" si="40"/>
        <v>-</v>
      </c>
      <c r="BC71" s="26" t="str">
        <f t="shared" ca="1" si="41"/>
        <v>2029</v>
      </c>
      <c r="BD71" s="26" t="str">
        <f t="shared" ca="1" si="42"/>
        <v>06</v>
      </c>
      <c r="BE71" s="26">
        <f t="shared" ca="1" si="43"/>
        <v>16</v>
      </c>
      <c r="BF71" s="27" t="str">
        <f t="shared" ca="1" si="19"/>
        <v>sábado</v>
      </c>
      <c r="BG71" s="27">
        <f t="shared" ca="1" si="20"/>
        <v>47285</v>
      </c>
      <c r="BK71" s="26" t="str">
        <f t="shared" ca="1" si="22"/>
        <v>2029</v>
      </c>
      <c r="BL71" s="26" t="str">
        <f t="shared" ca="1" si="25"/>
        <v>07</v>
      </c>
      <c r="BM71" s="26">
        <f t="shared" ca="1" si="24"/>
        <v>1</v>
      </c>
      <c r="BN71" s="26" t="str">
        <f t="shared" ca="1" si="21"/>
        <v>domingo</v>
      </c>
      <c r="BO71" s="27" t="str">
        <f t="shared" si="35"/>
        <v>-</v>
      </c>
    </row>
    <row r="72" spans="3:67" s="26" customFormat="1" ht="12">
      <c r="C72" s="50">
        <v>47</v>
      </c>
      <c r="D72" s="39" t="str">
        <f t="shared" si="36"/>
        <v>-</v>
      </c>
      <c r="E72" s="81" t="str">
        <f t="shared" si="26"/>
        <v>-</v>
      </c>
      <c r="F72" s="78" t="str">
        <f t="shared" si="37"/>
        <v>-</v>
      </c>
      <c r="G72" s="51" t="str">
        <f t="shared" si="38"/>
        <v>-</v>
      </c>
      <c r="H72" s="41" t="str">
        <f t="shared" si="27"/>
        <v>-</v>
      </c>
      <c r="I72" s="42" t="str">
        <f t="shared" si="39"/>
        <v>-</v>
      </c>
      <c r="J72" s="42" t="str">
        <f t="shared" si="28"/>
        <v>-</v>
      </c>
      <c r="K72" s="42" t="str">
        <f t="shared" si="29"/>
        <v>-</v>
      </c>
      <c r="L72" s="42" t="str">
        <f t="shared" si="30"/>
        <v>-</v>
      </c>
      <c r="M72" s="52" t="str">
        <f t="shared" si="31"/>
        <v>-</v>
      </c>
      <c r="N72" s="48" t="str">
        <f>IF($E$7&gt;=C72,(IF(((Q72-(K72+(J71 * -1)+1))&lt;=0),1,((SUM(J$26:$J72)-(SUM($O$25:$O$27)))))),"-")</f>
        <v>-</v>
      </c>
      <c r="O72" s="45" t="str">
        <f>IF($E$7&gt;=C72,(IF((N72&lt;=0),1,((SUM($J$26:J72)-(SUM($O$25:O71)))))),"-")</f>
        <v>-</v>
      </c>
      <c r="P72" s="42" t="str">
        <f t="shared" si="32"/>
        <v>-</v>
      </c>
      <c r="Q72" s="46" t="str">
        <f t="shared" si="33"/>
        <v>-</v>
      </c>
      <c r="R72" s="47"/>
      <c r="S72" s="46" t="str">
        <f t="shared" si="34"/>
        <v>-</v>
      </c>
      <c r="T72" s="47"/>
      <c r="U72" s="47" t="str">
        <f t="shared" si="14"/>
        <v>-</v>
      </c>
      <c r="V72" s="47"/>
      <c r="W72" s="47"/>
      <c r="X72" s="47"/>
      <c r="Y72" s="47"/>
      <c r="Z72" s="47"/>
      <c r="AA72" s="31">
        <v>47</v>
      </c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BA72" s="27" t="str">
        <f t="shared" si="40"/>
        <v>-</v>
      </c>
      <c r="BC72" s="26" t="str">
        <f t="shared" ca="1" si="41"/>
        <v>2029</v>
      </c>
      <c r="BD72" s="26" t="str">
        <f t="shared" ca="1" si="42"/>
        <v>07</v>
      </c>
      <c r="BE72" s="26">
        <f t="shared" ca="1" si="43"/>
        <v>16</v>
      </c>
      <c r="BF72" s="27" t="str">
        <f t="shared" ca="1" si="19"/>
        <v>lunes</v>
      </c>
      <c r="BG72" s="27">
        <f t="shared" ca="1" si="20"/>
        <v>47315</v>
      </c>
      <c r="BK72" s="26" t="str">
        <f t="shared" ca="1" si="22"/>
        <v>2029</v>
      </c>
      <c r="BL72" s="26" t="str">
        <f t="shared" ca="1" si="25"/>
        <v>08</v>
      </c>
      <c r="BM72" s="26">
        <f t="shared" ca="1" si="24"/>
        <v>1</v>
      </c>
      <c r="BN72" s="26" t="str">
        <f t="shared" ca="1" si="21"/>
        <v>miércoles</v>
      </c>
      <c r="BO72" s="27" t="str">
        <f t="shared" si="35"/>
        <v>-</v>
      </c>
    </row>
    <row r="73" spans="3:67" s="26" customFormat="1" ht="12">
      <c r="C73" s="50">
        <v>48</v>
      </c>
      <c r="D73" s="39" t="str">
        <f t="shared" si="36"/>
        <v>-</v>
      </c>
      <c r="E73" s="81" t="str">
        <f t="shared" si="26"/>
        <v>-</v>
      </c>
      <c r="F73" s="78" t="str">
        <f t="shared" si="37"/>
        <v>-</v>
      </c>
      <c r="G73" s="51" t="str">
        <f t="shared" si="38"/>
        <v>-</v>
      </c>
      <c r="H73" s="41" t="str">
        <f t="shared" si="27"/>
        <v>-</v>
      </c>
      <c r="I73" s="42" t="str">
        <f t="shared" si="39"/>
        <v>-</v>
      </c>
      <c r="J73" s="42" t="str">
        <f t="shared" si="28"/>
        <v>-</v>
      </c>
      <c r="K73" s="42" t="str">
        <f t="shared" si="29"/>
        <v>-</v>
      </c>
      <c r="L73" s="42" t="str">
        <f t="shared" si="30"/>
        <v>-</v>
      </c>
      <c r="M73" s="52" t="str">
        <f t="shared" si="31"/>
        <v>-</v>
      </c>
      <c r="N73" s="48" t="str">
        <f>IF($E$7&gt;=C73,(IF(((Q73-(K73+(J72 * -1)+1))&lt;=0),1,((SUM(J$26:$J73)-(SUM($O$25:$O$27)))))),"-")</f>
        <v>-</v>
      </c>
      <c r="O73" s="45" t="str">
        <f>IF($E$7&gt;=C73,(IF((N73&lt;=0),1,((SUM($J$26:J73)-(SUM($O$25:O72)))))),"-")</f>
        <v>-</v>
      </c>
      <c r="P73" s="42" t="str">
        <f t="shared" si="32"/>
        <v>-</v>
      </c>
      <c r="Q73" s="46" t="str">
        <f t="shared" si="33"/>
        <v>-</v>
      </c>
      <c r="R73" s="47"/>
      <c r="S73" s="46" t="str">
        <f t="shared" si="34"/>
        <v>-</v>
      </c>
      <c r="T73" s="47"/>
      <c r="U73" s="47" t="str">
        <f t="shared" si="14"/>
        <v>-</v>
      </c>
      <c r="V73" s="47"/>
      <c r="W73" s="47"/>
      <c r="X73" s="47"/>
      <c r="Y73" s="47"/>
      <c r="Z73" s="47"/>
      <c r="AA73" s="31">
        <v>48</v>
      </c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BA73" s="27" t="str">
        <f t="shared" si="40"/>
        <v>-</v>
      </c>
      <c r="BC73" s="26" t="str">
        <f t="shared" ca="1" si="41"/>
        <v>2029</v>
      </c>
      <c r="BD73" s="26" t="str">
        <f t="shared" ca="1" si="42"/>
        <v>08</v>
      </c>
      <c r="BE73" s="26">
        <f t="shared" ca="1" si="43"/>
        <v>16</v>
      </c>
      <c r="BF73" s="27" t="str">
        <f t="shared" ca="1" si="19"/>
        <v>jueves</v>
      </c>
      <c r="BG73" s="27">
        <f t="shared" ca="1" si="20"/>
        <v>47346</v>
      </c>
      <c r="BK73" s="26" t="str">
        <f t="shared" ca="1" si="22"/>
        <v>2029</v>
      </c>
      <c r="BL73" s="26" t="str">
        <f t="shared" ca="1" si="25"/>
        <v>09</v>
      </c>
      <c r="BM73" s="26">
        <f t="shared" ca="1" si="24"/>
        <v>1</v>
      </c>
      <c r="BN73" s="26" t="str">
        <f t="shared" ca="1" si="21"/>
        <v>sábado</v>
      </c>
      <c r="BO73" s="27" t="str">
        <f t="shared" si="35"/>
        <v>-</v>
      </c>
    </row>
    <row r="74" spans="3:67" s="26" customFormat="1" ht="12">
      <c r="C74" s="50">
        <v>49</v>
      </c>
      <c r="D74" s="39" t="str">
        <f t="shared" si="36"/>
        <v>-</v>
      </c>
      <c r="E74" s="81" t="str">
        <f t="shared" si="26"/>
        <v>-</v>
      </c>
      <c r="F74" s="78" t="str">
        <f t="shared" si="37"/>
        <v>-</v>
      </c>
      <c r="G74" s="51" t="str">
        <f t="shared" si="38"/>
        <v>-</v>
      </c>
      <c r="H74" s="41" t="str">
        <f t="shared" si="27"/>
        <v>-</v>
      </c>
      <c r="I74" s="42" t="str">
        <f t="shared" si="39"/>
        <v>-</v>
      </c>
      <c r="J74" s="42" t="str">
        <f t="shared" si="28"/>
        <v>-</v>
      </c>
      <c r="K74" s="42" t="str">
        <f t="shared" si="29"/>
        <v>-</v>
      </c>
      <c r="L74" s="42" t="str">
        <f t="shared" si="30"/>
        <v>-</v>
      </c>
      <c r="M74" s="52" t="str">
        <f t="shared" si="31"/>
        <v>-</v>
      </c>
      <c r="N74" s="48" t="str">
        <f>IF($E$7&gt;=C74,(IF(((Q74-(K74+(J73 * -1)+1))&lt;=0),1,((SUM(J$26:$J74)-(SUM($O$25:$O$27)))))),"-")</f>
        <v>-</v>
      </c>
      <c r="O74" s="45" t="str">
        <f>IF($E$7&gt;=C74,(IF((N74&lt;=0),1,((SUM($J$26:J74)-(SUM($O$25:O73)))))),"-")</f>
        <v>-</v>
      </c>
      <c r="P74" s="42" t="str">
        <f t="shared" si="32"/>
        <v>-</v>
      </c>
      <c r="Q74" s="46" t="str">
        <f t="shared" si="33"/>
        <v>-</v>
      </c>
      <c r="R74" s="47"/>
      <c r="S74" s="46" t="str">
        <f t="shared" si="34"/>
        <v>-</v>
      </c>
      <c r="T74" s="47"/>
      <c r="U74" s="47" t="str">
        <f t="shared" si="14"/>
        <v>-</v>
      </c>
      <c r="V74" s="47"/>
      <c r="W74" s="47"/>
      <c r="X74" s="47"/>
      <c r="Y74" s="47"/>
      <c r="Z74" s="47"/>
      <c r="AA74" s="31">
        <v>49</v>
      </c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BA74" s="27" t="str">
        <f t="shared" si="40"/>
        <v>-</v>
      </c>
      <c r="BC74" s="26" t="str">
        <f t="shared" ref="BC74:BC85" ca="1" si="44">IF(VALUE(BD73)=12,TEXT(VALUE(BC73)+1,"0000"),BC73)</f>
        <v>2029</v>
      </c>
      <c r="BD74" s="26" t="str">
        <f t="shared" ca="1" si="42"/>
        <v>09</v>
      </c>
      <c r="BE74" s="26">
        <f t="shared" ca="1" si="43"/>
        <v>16</v>
      </c>
      <c r="BF74" s="27" t="str">
        <f t="shared" ref="BF74:BF85" ca="1" si="45">TEXT(VALUE(CONCATENATE(BE74,"/",BD74,"/",BC74)),"dddd")</f>
        <v>domingo</v>
      </c>
      <c r="BG74" s="27">
        <f t="shared" ref="BG74:BG85" ca="1" si="46">+VALUE(CONCATENATE(BE74,"/",BD74,"/",BC74))</f>
        <v>47377</v>
      </c>
      <c r="BK74" s="26" t="str">
        <f t="shared" ca="1" si="22"/>
        <v>2029</v>
      </c>
      <c r="BL74" s="26" t="str">
        <f t="shared" ca="1" si="25"/>
        <v>10</v>
      </c>
      <c r="BM74" s="26">
        <f t="shared" ca="1" si="24"/>
        <v>1</v>
      </c>
      <c r="BN74" s="26" t="str">
        <f t="shared" ca="1" si="21"/>
        <v>lunes</v>
      </c>
      <c r="BO74" s="27" t="str">
        <f t="shared" si="35"/>
        <v>-</v>
      </c>
    </row>
    <row r="75" spans="3:67" s="26" customFormat="1" ht="12">
      <c r="C75" s="50">
        <v>50</v>
      </c>
      <c r="D75" s="39" t="str">
        <f t="shared" si="36"/>
        <v>-</v>
      </c>
      <c r="E75" s="81" t="str">
        <f t="shared" si="26"/>
        <v>-</v>
      </c>
      <c r="F75" s="78" t="str">
        <f t="shared" si="37"/>
        <v>-</v>
      </c>
      <c r="G75" s="51" t="str">
        <f t="shared" si="38"/>
        <v>-</v>
      </c>
      <c r="H75" s="41" t="str">
        <f t="shared" si="27"/>
        <v>-</v>
      </c>
      <c r="I75" s="42" t="str">
        <f t="shared" si="39"/>
        <v>-</v>
      </c>
      <c r="J75" s="42" t="str">
        <f t="shared" si="28"/>
        <v>-</v>
      </c>
      <c r="K75" s="42" t="str">
        <f t="shared" si="29"/>
        <v>-</v>
      </c>
      <c r="L75" s="42" t="str">
        <f t="shared" si="30"/>
        <v>-</v>
      </c>
      <c r="M75" s="52" t="str">
        <f t="shared" si="31"/>
        <v>-</v>
      </c>
      <c r="N75" s="48" t="str">
        <f>IF($E$7&gt;=C75,(IF(((Q75-(K75+(J74 * -1)+1))&lt;=0),1,((SUM(J$26:$J75)-(SUM($O$25:$O$27)))))),"-")</f>
        <v>-</v>
      </c>
      <c r="O75" s="45" t="str">
        <f>IF($E$7&gt;=C75,(IF((N75&lt;=0),1,((SUM($J$26:J75)-(SUM($O$25:O74)))))),"-")</f>
        <v>-</v>
      </c>
      <c r="P75" s="42" t="str">
        <f t="shared" si="32"/>
        <v>-</v>
      </c>
      <c r="Q75" s="46" t="str">
        <f t="shared" si="33"/>
        <v>-</v>
      </c>
      <c r="R75" s="47"/>
      <c r="S75" s="46" t="str">
        <f t="shared" si="34"/>
        <v>-</v>
      </c>
      <c r="T75" s="47"/>
      <c r="U75" s="47" t="str">
        <f t="shared" si="14"/>
        <v>-</v>
      </c>
      <c r="V75" s="47"/>
      <c r="W75" s="47"/>
      <c r="X75" s="47"/>
      <c r="Y75" s="47"/>
      <c r="Z75" s="47"/>
      <c r="AA75" s="31">
        <v>50</v>
      </c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BA75" s="27" t="str">
        <f t="shared" si="40"/>
        <v>-</v>
      </c>
      <c r="BC75" s="26" t="str">
        <f t="shared" ca="1" si="44"/>
        <v>2029</v>
      </c>
      <c r="BD75" s="26" t="str">
        <f t="shared" ca="1" si="42"/>
        <v>10</v>
      </c>
      <c r="BE75" s="26">
        <f t="shared" ca="1" si="43"/>
        <v>16</v>
      </c>
      <c r="BF75" s="27" t="str">
        <f t="shared" ca="1" si="45"/>
        <v>martes</v>
      </c>
      <c r="BG75" s="27">
        <f t="shared" ca="1" si="46"/>
        <v>47407</v>
      </c>
      <c r="BK75" s="26" t="str">
        <f t="shared" ca="1" si="22"/>
        <v>2029</v>
      </c>
      <c r="BL75" s="26" t="str">
        <f t="shared" ca="1" si="25"/>
        <v>11</v>
      </c>
      <c r="BM75" s="26">
        <f t="shared" ca="1" si="24"/>
        <v>1</v>
      </c>
      <c r="BN75" s="26" t="str">
        <f t="shared" ca="1" si="21"/>
        <v>jueves</v>
      </c>
      <c r="BO75" s="27" t="str">
        <f t="shared" si="35"/>
        <v>-</v>
      </c>
    </row>
    <row r="76" spans="3:67" s="26" customFormat="1" ht="12">
      <c r="C76" s="50">
        <v>51</v>
      </c>
      <c r="D76" s="39" t="str">
        <f t="shared" si="36"/>
        <v>-</v>
      </c>
      <c r="E76" s="81" t="str">
        <f t="shared" si="26"/>
        <v>-</v>
      </c>
      <c r="F76" s="78" t="str">
        <f t="shared" si="37"/>
        <v>-</v>
      </c>
      <c r="G76" s="51" t="str">
        <f t="shared" si="38"/>
        <v>-</v>
      </c>
      <c r="H76" s="41" t="str">
        <f t="shared" si="27"/>
        <v>-</v>
      </c>
      <c r="I76" s="42" t="str">
        <f t="shared" si="39"/>
        <v>-</v>
      </c>
      <c r="J76" s="42" t="str">
        <f t="shared" si="28"/>
        <v>-</v>
      </c>
      <c r="K76" s="42" t="str">
        <f t="shared" si="29"/>
        <v>-</v>
      </c>
      <c r="L76" s="42" t="str">
        <f t="shared" si="30"/>
        <v>-</v>
      </c>
      <c r="M76" s="52" t="str">
        <f t="shared" si="31"/>
        <v>-</v>
      </c>
      <c r="N76" s="48" t="str">
        <f>IF($E$7&gt;=C76,(IF(((Q76-(K76+(J75 * -1)+1))&lt;=0),1,((SUM(J$26:$J76)-(SUM($O$25:$O$27)))))),"-")</f>
        <v>-</v>
      </c>
      <c r="O76" s="45" t="str">
        <f>IF($E$7&gt;=C76,(IF((N76&lt;=0),1,((SUM($J$26:J76)-(SUM($O$25:O75)))))),"-")</f>
        <v>-</v>
      </c>
      <c r="P76" s="42" t="str">
        <f t="shared" si="32"/>
        <v>-</v>
      </c>
      <c r="Q76" s="46" t="str">
        <f t="shared" si="33"/>
        <v>-</v>
      </c>
      <c r="R76" s="47"/>
      <c r="S76" s="46" t="str">
        <f t="shared" si="34"/>
        <v>-</v>
      </c>
      <c r="T76" s="47"/>
      <c r="U76" s="47" t="str">
        <f t="shared" si="14"/>
        <v>-</v>
      </c>
      <c r="V76" s="47"/>
      <c r="W76" s="47"/>
      <c r="X76" s="47"/>
      <c r="Y76" s="47"/>
      <c r="Z76" s="47"/>
      <c r="AA76" s="31">
        <v>51</v>
      </c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BA76" s="27" t="str">
        <f t="shared" si="40"/>
        <v>-</v>
      </c>
      <c r="BC76" s="26" t="str">
        <f t="shared" ca="1" si="44"/>
        <v>2029</v>
      </c>
      <c r="BD76" s="26" t="str">
        <f t="shared" ca="1" si="42"/>
        <v>11</v>
      </c>
      <c r="BE76" s="26">
        <f t="shared" ca="1" si="43"/>
        <v>16</v>
      </c>
      <c r="BF76" s="27" t="str">
        <f t="shared" ca="1" si="45"/>
        <v>viernes</v>
      </c>
      <c r="BG76" s="27">
        <f t="shared" ca="1" si="46"/>
        <v>47438</v>
      </c>
      <c r="BK76" s="26" t="str">
        <f t="shared" ca="1" si="22"/>
        <v>2029</v>
      </c>
      <c r="BL76" s="26" t="str">
        <f t="shared" ca="1" si="25"/>
        <v>12</v>
      </c>
      <c r="BM76" s="26">
        <f t="shared" ca="1" si="24"/>
        <v>1</v>
      </c>
      <c r="BN76" s="26" t="str">
        <f t="shared" ca="1" si="21"/>
        <v>sábado</v>
      </c>
      <c r="BO76" s="27" t="str">
        <f t="shared" si="35"/>
        <v>-</v>
      </c>
    </row>
    <row r="77" spans="3:67" s="26" customFormat="1" ht="12">
      <c r="C77" s="50">
        <v>52</v>
      </c>
      <c r="D77" s="39" t="str">
        <f t="shared" si="36"/>
        <v>-</v>
      </c>
      <c r="E77" s="81" t="str">
        <f t="shared" si="26"/>
        <v>-</v>
      </c>
      <c r="F77" s="78" t="str">
        <f t="shared" si="37"/>
        <v>-</v>
      </c>
      <c r="G77" s="51" t="str">
        <f t="shared" si="38"/>
        <v>-</v>
      </c>
      <c r="H77" s="41" t="str">
        <f t="shared" si="27"/>
        <v>-</v>
      </c>
      <c r="I77" s="42" t="str">
        <f t="shared" si="39"/>
        <v>-</v>
      </c>
      <c r="J77" s="42" t="str">
        <f t="shared" si="28"/>
        <v>-</v>
      </c>
      <c r="K77" s="42" t="str">
        <f t="shared" si="29"/>
        <v>-</v>
      </c>
      <c r="L77" s="42" t="str">
        <f t="shared" si="30"/>
        <v>-</v>
      </c>
      <c r="M77" s="52" t="str">
        <f t="shared" si="31"/>
        <v>-</v>
      </c>
      <c r="N77" s="48" t="str">
        <f>IF($E$7&gt;=C77,(IF(((Q77-(K77+(J76 * -1)+1))&lt;=0),1,((SUM(J$26:$J77)-(SUM($O$25:$O$27)))))),"-")</f>
        <v>-</v>
      </c>
      <c r="O77" s="45" t="str">
        <f>IF($E$7&gt;=C77,(IF((N77&lt;=0),1,((SUM($J$26:J77)-(SUM($O$25:O76)))))),"-")</f>
        <v>-</v>
      </c>
      <c r="P77" s="42" t="str">
        <f t="shared" si="32"/>
        <v>-</v>
      </c>
      <c r="Q77" s="46" t="str">
        <f t="shared" si="33"/>
        <v>-</v>
      </c>
      <c r="R77" s="47"/>
      <c r="S77" s="46" t="str">
        <f t="shared" si="34"/>
        <v>-</v>
      </c>
      <c r="T77" s="47"/>
      <c r="U77" s="47" t="str">
        <f t="shared" si="14"/>
        <v>-</v>
      </c>
      <c r="V77" s="47"/>
      <c r="W77" s="47"/>
      <c r="X77" s="47"/>
      <c r="Y77" s="47"/>
      <c r="Z77" s="47"/>
      <c r="AA77" s="31">
        <v>52</v>
      </c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BA77" s="27" t="str">
        <f t="shared" si="40"/>
        <v>-</v>
      </c>
      <c r="BC77" s="26" t="str">
        <f t="shared" ca="1" si="44"/>
        <v>2029</v>
      </c>
      <c r="BD77" s="26" t="str">
        <f t="shared" ca="1" si="42"/>
        <v>12</v>
      </c>
      <c r="BE77" s="26">
        <f t="shared" ca="1" si="43"/>
        <v>16</v>
      </c>
      <c r="BF77" s="27" t="str">
        <f t="shared" ca="1" si="45"/>
        <v>domingo</v>
      </c>
      <c r="BG77" s="27">
        <f t="shared" ca="1" si="46"/>
        <v>47468</v>
      </c>
      <c r="BK77" s="26" t="str">
        <f t="shared" ca="1" si="22"/>
        <v>2030</v>
      </c>
      <c r="BL77" s="26" t="str">
        <f t="shared" ca="1" si="25"/>
        <v>01</v>
      </c>
      <c r="BM77" s="26">
        <f t="shared" ca="1" si="24"/>
        <v>1</v>
      </c>
      <c r="BN77" s="26" t="str">
        <f t="shared" ca="1" si="21"/>
        <v>martes</v>
      </c>
      <c r="BO77" s="27" t="str">
        <f t="shared" si="35"/>
        <v>-</v>
      </c>
    </row>
    <row r="78" spans="3:67" s="26" customFormat="1" ht="12">
      <c r="C78" s="50">
        <v>53</v>
      </c>
      <c r="D78" s="39" t="str">
        <f t="shared" si="36"/>
        <v>-</v>
      </c>
      <c r="E78" s="81" t="str">
        <f t="shared" si="26"/>
        <v>-</v>
      </c>
      <c r="F78" s="78" t="str">
        <f t="shared" si="37"/>
        <v>-</v>
      </c>
      <c r="G78" s="51" t="str">
        <f t="shared" si="38"/>
        <v>-</v>
      </c>
      <c r="H78" s="41" t="str">
        <f t="shared" si="27"/>
        <v>-</v>
      </c>
      <c r="I78" s="42" t="str">
        <f t="shared" si="39"/>
        <v>-</v>
      </c>
      <c r="J78" s="42" t="str">
        <f t="shared" si="28"/>
        <v>-</v>
      </c>
      <c r="K78" s="42" t="str">
        <f t="shared" si="29"/>
        <v>-</v>
      </c>
      <c r="L78" s="42" t="str">
        <f t="shared" si="30"/>
        <v>-</v>
      </c>
      <c r="M78" s="52" t="str">
        <f t="shared" si="31"/>
        <v>-</v>
      </c>
      <c r="N78" s="48" t="str">
        <f>IF($E$7&gt;=C78,(IF(((Q78-(K78+(J77 * -1)+1))&lt;=0),1,((SUM(J$26:$J78)-(SUM($O$25:$O$27)))))),"-")</f>
        <v>-</v>
      </c>
      <c r="O78" s="45" t="str">
        <f>IF($E$7&gt;=C78,(IF((N78&lt;=0),1,((SUM($J$26:J78)-(SUM($O$25:O77)))))),"-")</f>
        <v>-</v>
      </c>
      <c r="P78" s="42" t="str">
        <f t="shared" si="32"/>
        <v>-</v>
      </c>
      <c r="Q78" s="46" t="str">
        <f t="shared" si="33"/>
        <v>-</v>
      </c>
      <c r="R78" s="47"/>
      <c r="S78" s="46" t="str">
        <f t="shared" si="34"/>
        <v>-</v>
      </c>
      <c r="T78" s="47"/>
      <c r="U78" s="47" t="str">
        <f t="shared" si="14"/>
        <v>-</v>
      </c>
      <c r="V78" s="47"/>
      <c r="W78" s="47"/>
      <c r="X78" s="47"/>
      <c r="Y78" s="47"/>
      <c r="Z78" s="47"/>
      <c r="AA78" s="31">
        <v>53</v>
      </c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BA78" s="27" t="str">
        <f t="shared" si="40"/>
        <v>-</v>
      </c>
      <c r="BC78" s="26" t="str">
        <f t="shared" ca="1" si="44"/>
        <v>2030</v>
      </c>
      <c r="BD78" s="26" t="str">
        <f t="shared" ca="1" si="42"/>
        <v>01</v>
      </c>
      <c r="BE78" s="26">
        <f t="shared" ca="1" si="43"/>
        <v>16</v>
      </c>
      <c r="BF78" s="27" t="str">
        <f t="shared" ca="1" si="45"/>
        <v>miércoles</v>
      </c>
      <c r="BG78" s="27">
        <f t="shared" ca="1" si="46"/>
        <v>47499</v>
      </c>
      <c r="BK78" s="26" t="str">
        <f t="shared" ca="1" si="22"/>
        <v>2030</v>
      </c>
      <c r="BL78" s="26" t="str">
        <f t="shared" ca="1" si="25"/>
        <v>02</v>
      </c>
      <c r="BM78" s="26">
        <f t="shared" ca="1" si="24"/>
        <v>1</v>
      </c>
      <c r="BN78" s="26" t="str">
        <f t="shared" ca="1" si="21"/>
        <v>viernes</v>
      </c>
      <c r="BO78" s="27" t="str">
        <f t="shared" si="35"/>
        <v>-</v>
      </c>
    </row>
    <row r="79" spans="3:67" s="26" customFormat="1" ht="12">
      <c r="C79" s="50">
        <v>54</v>
      </c>
      <c r="D79" s="39" t="str">
        <f t="shared" si="36"/>
        <v>-</v>
      </c>
      <c r="E79" s="81" t="str">
        <f t="shared" si="26"/>
        <v>-</v>
      </c>
      <c r="F79" s="78" t="str">
        <f t="shared" si="37"/>
        <v>-</v>
      </c>
      <c r="G79" s="51" t="str">
        <f t="shared" si="38"/>
        <v>-</v>
      </c>
      <c r="H79" s="41" t="str">
        <f t="shared" si="27"/>
        <v>-</v>
      </c>
      <c r="I79" s="42" t="str">
        <f t="shared" si="39"/>
        <v>-</v>
      </c>
      <c r="J79" s="42" t="str">
        <f t="shared" si="28"/>
        <v>-</v>
      </c>
      <c r="K79" s="42" t="str">
        <f t="shared" si="29"/>
        <v>-</v>
      </c>
      <c r="L79" s="42" t="str">
        <f t="shared" si="30"/>
        <v>-</v>
      </c>
      <c r="M79" s="52" t="str">
        <f t="shared" si="31"/>
        <v>-</v>
      </c>
      <c r="N79" s="48" t="str">
        <f>IF($E$7&gt;=C79,(IF(((Q79-(K79+(J78 * -1)+1))&lt;=0),1,((SUM(J$26:$J79)-(SUM($O$25:$O$27)))))),"-")</f>
        <v>-</v>
      </c>
      <c r="O79" s="45" t="str">
        <f>IF($E$7&gt;=C79,(IF((N79&lt;=0),1,((SUM($J$26:J79)-(SUM($O$25:O78)))))),"-")</f>
        <v>-</v>
      </c>
      <c r="P79" s="42" t="str">
        <f t="shared" si="32"/>
        <v>-</v>
      </c>
      <c r="Q79" s="46" t="str">
        <f t="shared" si="33"/>
        <v>-</v>
      </c>
      <c r="R79" s="47"/>
      <c r="S79" s="46" t="str">
        <f t="shared" si="34"/>
        <v>-</v>
      </c>
      <c r="T79" s="47"/>
      <c r="U79" s="47" t="str">
        <f t="shared" si="14"/>
        <v>-</v>
      </c>
      <c r="V79" s="47"/>
      <c r="W79" s="47"/>
      <c r="X79" s="47"/>
      <c r="Y79" s="47"/>
      <c r="Z79" s="47"/>
      <c r="AA79" s="31">
        <v>54</v>
      </c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BA79" s="27" t="str">
        <f t="shared" si="40"/>
        <v>-</v>
      </c>
      <c r="BC79" s="26" t="str">
        <f t="shared" ca="1" si="44"/>
        <v>2030</v>
      </c>
      <c r="BD79" s="26" t="str">
        <f t="shared" ca="1" si="42"/>
        <v>02</v>
      </c>
      <c r="BE79" s="26">
        <f t="shared" ca="1" si="43"/>
        <v>16</v>
      </c>
      <c r="BF79" s="27" t="str">
        <f t="shared" ca="1" si="45"/>
        <v>sábado</v>
      </c>
      <c r="BG79" s="27">
        <f t="shared" ca="1" si="46"/>
        <v>47530</v>
      </c>
      <c r="BK79" s="26" t="str">
        <f t="shared" ca="1" si="22"/>
        <v>2030</v>
      </c>
      <c r="BL79" s="26" t="str">
        <f t="shared" ca="1" si="25"/>
        <v>03</v>
      </c>
      <c r="BM79" s="26">
        <f t="shared" ca="1" si="24"/>
        <v>1</v>
      </c>
      <c r="BN79" s="26" t="str">
        <f t="shared" ca="1" si="21"/>
        <v>viernes</v>
      </c>
      <c r="BO79" s="27" t="str">
        <f t="shared" si="35"/>
        <v>-</v>
      </c>
    </row>
    <row r="80" spans="3:67" s="26" customFormat="1" ht="12">
      <c r="C80" s="50">
        <v>55</v>
      </c>
      <c r="D80" s="39" t="str">
        <f t="shared" si="36"/>
        <v>-</v>
      </c>
      <c r="E80" s="81" t="str">
        <f t="shared" si="26"/>
        <v>-</v>
      </c>
      <c r="F80" s="78" t="str">
        <f t="shared" si="37"/>
        <v>-</v>
      </c>
      <c r="G80" s="51" t="str">
        <f t="shared" si="38"/>
        <v>-</v>
      </c>
      <c r="H80" s="41" t="str">
        <f t="shared" si="27"/>
        <v>-</v>
      </c>
      <c r="I80" s="42" t="str">
        <f t="shared" si="39"/>
        <v>-</v>
      </c>
      <c r="J80" s="42" t="str">
        <f t="shared" si="28"/>
        <v>-</v>
      </c>
      <c r="K80" s="42" t="str">
        <f t="shared" si="29"/>
        <v>-</v>
      </c>
      <c r="L80" s="42" t="str">
        <f t="shared" si="30"/>
        <v>-</v>
      </c>
      <c r="M80" s="52" t="str">
        <f t="shared" si="31"/>
        <v>-</v>
      </c>
      <c r="N80" s="48" t="str">
        <f>IF($E$7&gt;=C80,(IF(((Q80-(K80+(J79 * -1)+1))&lt;=0),1,((SUM(J$26:$J80)-(SUM($O$25:$O$27)))))),"-")</f>
        <v>-</v>
      </c>
      <c r="O80" s="45" t="str">
        <f>IF($E$7&gt;=C80,(IF((N80&lt;=0),1,((SUM($J$26:J80)-(SUM($O$25:O79)))))),"-")</f>
        <v>-</v>
      </c>
      <c r="P80" s="42" t="str">
        <f t="shared" si="32"/>
        <v>-</v>
      </c>
      <c r="Q80" s="46" t="str">
        <f t="shared" si="33"/>
        <v>-</v>
      </c>
      <c r="R80" s="47"/>
      <c r="S80" s="46" t="str">
        <f t="shared" si="34"/>
        <v>-</v>
      </c>
      <c r="T80" s="47"/>
      <c r="U80" s="47" t="str">
        <f t="shared" si="14"/>
        <v>-</v>
      </c>
      <c r="V80" s="47"/>
      <c r="W80" s="47"/>
      <c r="X80" s="47"/>
      <c r="Y80" s="47"/>
      <c r="Z80" s="47"/>
      <c r="AA80" s="31">
        <v>55</v>
      </c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BA80" s="27" t="str">
        <f t="shared" si="40"/>
        <v>-</v>
      </c>
      <c r="BC80" s="26" t="str">
        <f t="shared" ca="1" si="44"/>
        <v>2030</v>
      </c>
      <c r="BD80" s="26" t="str">
        <f t="shared" ca="1" si="42"/>
        <v>03</v>
      </c>
      <c r="BE80" s="26">
        <f t="shared" ca="1" si="43"/>
        <v>16</v>
      </c>
      <c r="BF80" s="27" t="str">
        <f t="shared" ca="1" si="45"/>
        <v>sábado</v>
      </c>
      <c r="BG80" s="27">
        <f t="shared" ca="1" si="46"/>
        <v>47558</v>
      </c>
      <c r="BK80" s="26" t="str">
        <f t="shared" ca="1" si="22"/>
        <v>2030</v>
      </c>
      <c r="BL80" s="26" t="str">
        <f t="shared" ca="1" si="25"/>
        <v>04</v>
      </c>
      <c r="BM80" s="26">
        <f t="shared" ca="1" si="24"/>
        <v>1</v>
      </c>
      <c r="BN80" s="26" t="str">
        <f t="shared" ca="1" si="21"/>
        <v>lunes</v>
      </c>
      <c r="BO80" s="27" t="str">
        <f t="shared" si="35"/>
        <v>-</v>
      </c>
    </row>
    <row r="81" spans="3:67" s="26" customFormat="1" ht="12">
      <c r="C81" s="50">
        <v>56</v>
      </c>
      <c r="D81" s="39" t="str">
        <f t="shared" si="36"/>
        <v>-</v>
      </c>
      <c r="E81" s="81" t="str">
        <f t="shared" si="26"/>
        <v>-</v>
      </c>
      <c r="F81" s="78" t="str">
        <f t="shared" si="37"/>
        <v>-</v>
      </c>
      <c r="G81" s="51" t="str">
        <f t="shared" si="38"/>
        <v>-</v>
      </c>
      <c r="H81" s="41" t="str">
        <f t="shared" si="27"/>
        <v>-</v>
      </c>
      <c r="I81" s="42" t="str">
        <f t="shared" si="39"/>
        <v>-</v>
      </c>
      <c r="J81" s="42" t="str">
        <f t="shared" si="28"/>
        <v>-</v>
      </c>
      <c r="K81" s="42" t="str">
        <f t="shared" si="29"/>
        <v>-</v>
      </c>
      <c r="L81" s="42" t="str">
        <f t="shared" si="30"/>
        <v>-</v>
      </c>
      <c r="M81" s="52" t="str">
        <f t="shared" si="31"/>
        <v>-</v>
      </c>
      <c r="N81" s="48" t="str">
        <f>IF($E$7&gt;=C81,(IF(((Q81-(K81+(J80 * -1)+1))&lt;=0),1,((SUM(J$26:$J81)-(SUM($O$25:$O$27)))))),"-")</f>
        <v>-</v>
      </c>
      <c r="O81" s="45" t="str">
        <f>IF($E$7&gt;=C81,(IF((N81&lt;=0),1,((SUM($J$26:J81)-(SUM($O$25:O80)))))),"-")</f>
        <v>-</v>
      </c>
      <c r="P81" s="42" t="str">
        <f t="shared" si="32"/>
        <v>-</v>
      </c>
      <c r="Q81" s="46" t="str">
        <f t="shared" si="33"/>
        <v>-</v>
      </c>
      <c r="R81" s="47"/>
      <c r="S81" s="46" t="str">
        <f t="shared" si="34"/>
        <v>-</v>
      </c>
      <c r="T81" s="47"/>
      <c r="U81" s="47" t="str">
        <f t="shared" si="14"/>
        <v>-</v>
      </c>
      <c r="V81" s="47"/>
      <c r="W81" s="47"/>
      <c r="X81" s="47"/>
      <c r="Y81" s="47"/>
      <c r="Z81" s="47"/>
      <c r="AA81" s="31">
        <v>56</v>
      </c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BA81" s="27" t="str">
        <f t="shared" si="40"/>
        <v>-</v>
      </c>
      <c r="BC81" s="26" t="str">
        <f t="shared" ca="1" si="44"/>
        <v>2030</v>
      </c>
      <c r="BD81" s="26" t="str">
        <f t="shared" ca="1" si="42"/>
        <v>04</v>
      </c>
      <c r="BE81" s="26">
        <f t="shared" ca="1" si="43"/>
        <v>16</v>
      </c>
      <c r="BF81" s="27" t="str">
        <f t="shared" ca="1" si="45"/>
        <v>martes</v>
      </c>
      <c r="BG81" s="27">
        <f t="shared" ca="1" si="46"/>
        <v>47589</v>
      </c>
      <c r="BK81" s="26" t="str">
        <f t="shared" ca="1" si="22"/>
        <v>2030</v>
      </c>
      <c r="BL81" s="26" t="str">
        <f t="shared" ca="1" si="25"/>
        <v>05</v>
      </c>
      <c r="BM81" s="26">
        <f t="shared" ca="1" si="24"/>
        <v>1</v>
      </c>
      <c r="BN81" s="26" t="str">
        <f t="shared" ca="1" si="21"/>
        <v>miércoles</v>
      </c>
      <c r="BO81" s="27" t="str">
        <f t="shared" si="35"/>
        <v>-</v>
      </c>
    </row>
    <row r="82" spans="3:67" s="26" customFormat="1" ht="12">
      <c r="C82" s="50">
        <v>57</v>
      </c>
      <c r="D82" s="39" t="str">
        <f t="shared" si="36"/>
        <v>-</v>
      </c>
      <c r="E82" s="81" t="str">
        <f t="shared" si="26"/>
        <v>-</v>
      </c>
      <c r="F82" s="78" t="str">
        <f t="shared" si="37"/>
        <v>-</v>
      </c>
      <c r="G82" s="51" t="str">
        <f t="shared" si="38"/>
        <v>-</v>
      </c>
      <c r="H82" s="41" t="str">
        <f t="shared" si="27"/>
        <v>-</v>
      </c>
      <c r="I82" s="42" t="str">
        <f t="shared" si="39"/>
        <v>-</v>
      </c>
      <c r="J82" s="42" t="str">
        <f t="shared" si="28"/>
        <v>-</v>
      </c>
      <c r="K82" s="42" t="str">
        <f t="shared" si="29"/>
        <v>-</v>
      </c>
      <c r="L82" s="42" t="str">
        <f t="shared" si="30"/>
        <v>-</v>
      </c>
      <c r="M82" s="52" t="str">
        <f t="shared" si="31"/>
        <v>-</v>
      </c>
      <c r="N82" s="48" t="str">
        <f>IF($E$7&gt;=C82,(IF(((Q82-(K82+(J81 * -1)+1))&lt;=0),1,((SUM(J$26:$J82)-(SUM($O$25:$O$27)))))),"-")</f>
        <v>-</v>
      </c>
      <c r="O82" s="45" t="str">
        <f>IF($E$7&gt;=C82,(IF((N82&lt;=0),1,((SUM($J$26:J82)-(SUM($O$25:O81)))))),"-")</f>
        <v>-</v>
      </c>
      <c r="P82" s="42" t="str">
        <f t="shared" si="32"/>
        <v>-</v>
      </c>
      <c r="Q82" s="46" t="str">
        <f t="shared" si="33"/>
        <v>-</v>
      </c>
      <c r="R82" s="47"/>
      <c r="S82" s="46" t="str">
        <f t="shared" si="34"/>
        <v>-</v>
      </c>
      <c r="T82" s="47"/>
      <c r="U82" s="47" t="str">
        <f t="shared" si="14"/>
        <v>-</v>
      </c>
      <c r="V82" s="47"/>
      <c r="W82" s="47"/>
      <c r="X82" s="47"/>
      <c r="Y82" s="47"/>
      <c r="Z82" s="47"/>
      <c r="AA82" s="31">
        <v>57</v>
      </c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BA82" s="27" t="str">
        <f t="shared" si="40"/>
        <v>-</v>
      </c>
      <c r="BC82" s="26" t="str">
        <f t="shared" ca="1" si="44"/>
        <v>2030</v>
      </c>
      <c r="BD82" s="26" t="str">
        <f t="shared" ca="1" si="42"/>
        <v>05</v>
      </c>
      <c r="BE82" s="26">
        <f t="shared" ca="1" si="43"/>
        <v>16</v>
      </c>
      <c r="BF82" s="27" t="str">
        <f t="shared" ca="1" si="45"/>
        <v>jueves</v>
      </c>
      <c r="BG82" s="27">
        <f t="shared" ca="1" si="46"/>
        <v>47619</v>
      </c>
      <c r="BK82" s="26" t="str">
        <f t="shared" ca="1" si="22"/>
        <v>2030</v>
      </c>
      <c r="BL82" s="26" t="str">
        <f t="shared" ca="1" si="25"/>
        <v>06</v>
      </c>
      <c r="BM82" s="26">
        <f t="shared" ca="1" si="24"/>
        <v>1</v>
      </c>
      <c r="BN82" s="26" t="str">
        <f t="shared" ca="1" si="21"/>
        <v>sábado</v>
      </c>
      <c r="BO82" s="27" t="str">
        <f t="shared" si="35"/>
        <v>-</v>
      </c>
    </row>
    <row r="83" spans="3:67" s="26" customFormat="1" ht="12">
      <c r="C83" s="50">
        <v>58</v>
      </c>
      <c r="D83" s="39" t="str">
        <f t="shared" si="36"/>
        <v>-</v>
      </c>
      <c r="E83" s="81" t="str">
        <f t="shared" si="26"/>
        <v>-</v>
      </c>
      <c r="F83" s="78" t="str">
        <f t="shared" si="37"/>
        <v>-</v>
      </c>
      <c r="G83" s="51" t="str">
        <f t="shared" si="38"/>
        <v>-</v>
      </c>
      <c r="H83" s="41" t="str">
        <f t="shared" si="27"/>
        <v>-</v>
      </c>
      <c r="I83" s="42" t="str">
        <f t="shared" si="39"/>
        <v>-</v>
      </c>
      <c r="J83" s="42" t="str">
        <f t="shared" si="28"/>
        <v>-</v>
      </c>
      <c r="K83" s="42" t="str">
        <f t="shared" si="29"/>
        <v>-</v>
      </c>
      <c r="L83" s="42" t="str">
        <f t="shared" si="30"/>
        <v>-</v>
      </c>
      <c r="M83" s="52" t="str">
        <f t="shared" si="31"/>
        <v>-</v>
      </c>
      <c r="N83" s="48" t="str">
        <f>IF($E$7&gt;=C83,(IF(((Q83-(K83+(J82 * -1)+1))&lt;=0),1,((SUM(J$26:$J83)-(SUM($O$25:$O$27)))))),"-")</f>
        <v>-</v>
      </c>
      <c r="O83" s="45" t="str">
        <f>IF($E$7&gt;=C83,(IF((N83&lt;=0),1,((SUM($J$26:J83)-(SUM($O$25:O82)))))),"-")</f>
        <v>-</v>
      </c>
      <c r="P83" s="42" t="str">
        <f t="shared" si="32"/>
        <v>-</v>
      </c>
      <c r="Q83" s="46" t="str">
        <f t="shared" si="33"/>
        <v>-</v>
      </c>
      <c r="R83" s="47"/>
      <c r="S83" s="46" t="str">
        <f t="shared" si="34"/>
        <v>-</v>
      </c>
      <c r="T83" s="47"/>
      <c r="U83" s="47" t="str">
        <f t="shared" si="14"/>
        <v>-</v>
      </c>
      <c r="V83" s="47"/>
      <c r="W83" s="47"/>
      <c r="X83" s="47"/>
      <c r="Y83" s="47"/>
      <c r="Z83" s="47"/>
      <c r="AA83" s="31">
        <v>58</v>
      </c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BA83" s="27" t="str">
        <f t="shared" si="40"/>
        <v>-</v>
      </c>
      <c r="BC83" s="26" t="str">
        <f t="shared" ca="1" si="44"/>
        <v>2030</v>
      </c>
      <c r="BD83" s="26" t="str">
        <f t="shared" ca="1" si="42"/>
        <v>06</v>
      </c>
      <c r="BE83" s="26">
        <f t="shared" ca="1" si="43"/>
        <v>16</v>
      </c>
      <c r="BF83" s="27" t="str">
        <f t="shared" ca="1" si="45"/>
        <v>domingo</v>
      </c>
      <c r="BG83" s="27">
        <f t="shared" ca="1" si="46"/>
        <v>47650</v>
      </c>
      <c r="BK83" s="26" t="str">
        <f t="shared" ca="1" si="22"/>
        <v>2030</v>
      </c>
      <c r="BL83" s="26" t="str">
        <f t="shared" ca="1" si="25"/>
        <v>07</v>
      </c>
      <c r="BM83" s="26">
        <f t="shared" ca="1" si="24"/>
        <v>1</v>
      </c>
      <c r="BN83" s="26" t="str">
        <f t="shared" ca="1" si="21"/>
        <v>lunes</v>
      </c>
      <c r="BO83" s="27" t="str">
        <f t="shared" si="35"/>
        <v>-</v>
      </c>
    </row>
    <row r="84" spans="3:67" s="26" customFormat="1" ht="12">
      <c r="C84" s="50">
        <v>59</v>
      </c>
      <c r="D84" s="39" t="str">
        <f t="shared" si="36"/>
        <v>-</v>
      </c>
      <c r="E84" s="81" t="str">
        <f t="shared" si="26"/>
        <v>-</v>
      </c>
      <c r="F84" s="78" t="str">
        <f t="shared" si="37"/>
        <v>-</v>
      </c>
      <c r="G84" s="51" t="str">
        <f t="shared" si="38"/>
        <v>-</v>
      </c>
      <c r="H84" s="41" t="str">
        <f t="shared" si="27"/>
        <v>-</v>
      </c>
      <c r="I84" s="42" t="str">
        <f t="shared" si="39"/>
        <v>-</v>
      </c>
      <c r="J84" s="42" t="str">
        <f t="shared" si="28"/>
        <v>-</v>
      </c>
      <c r="K84" s="42" t="str">
        <f t="shared" si="29"/>
        <v>-</v>
      </c>
      <c r="L84" s="42" t="str">
        <f t="shared" si="30"/>
        <v>-</v>
      </c>
      <c r="M84" s="52" t="str">
        <f t="shared" si="31"/>
        <v>-</v>
      </c>
      <c r="N84" s="48" t="str">
        <f>IF($E$7&gt;=C84,(IF(((Q84-(K84+(J83 * -1)+1))&lt;=0),1,((SUM(J$26:$J84)-(SUM($O$25:$O$27)))))),"-")</f>
        <v>-</v>
      </c>
      <c r="O84" s="45" t="str">
        <f>IF($E$7&gt;=C84,(IF((N84&lt;=0),1,((SUM($J$26:J84)-(SUM($O$25:O83)))))),"-")</f>
        <v>-</v>
      </c>
      <c r="P84" s="42" t="str">
        <f t="shared" si="32"/>
        <v>-</v>
      </c>
      <c r="Q84" s="46" t="str">
        <f t="shared" si="33"/>
        <v>-</v>
      </c>
      <c r="R84" s="47"/>
      <c r="S84" s="46" t="str">
        <f t="shared" si="34"/>
        <v>-</v>
      </c>
      <c r="T84" s="47"/>
      <c r="U84" s="47" t="str">
        <f t="shared" si="14"/>
        <v>-</v>
      </c>
      <c r="V84" s="47"/>
      <c r="W84" s="47"/>
      <c r="X84" s="47"/>
      <c r="Y84" s="47"/>
      <c r="Z84" s="47"/>
      <c r="AA84" s="31">
        <v>59</v>
      </c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BA84" s="27" t="str">
        <f t="shared" si="40"/>
        <v>-</v>
      </c>
      <c r="BC84" s="26" t="str">
        <f t="shared" ca="1" si="44"/>
        <v>2030</v>
      </c>
      <c r="BD84" s="26" t="str">
        <f t="shared" ca="1" si="42"/>
        <v>07</v>
      </c>
      <c r="BE84" s="26">
        <f t="shared" ca="1" si="43"/>
        <v>16</v>
      </c>
      <c r="BF84" s="27" t="str">
        <f t="shared" ca="1" si="45"/>
        <v>martes</v>
      </c>
      <c r="BG84" s="27">
        <f t="shared" ca="1" si="46"/>
        <v>47680</v>
      </c>
      <c r="BK84" s="26" t="str">
        <f t="shared" ca="1" si="22"/>
        <v>2030</v>
      </c>
      <c r="BL84" s="26" t="str">
        <f t="shared" ca="1" si="25"/>
        <v>08</v>
      </c>
      <c r="BM84" s="26">
        <f t="shared" ca="1" si="24"/>
        <v>1</v>
      </c>
      <c r="BN84" s="26" t="str">
        <f t="shared" ca="1" si="21"/>
        <v>jueves</v>
      </c>
      <c r="BO84" s="27" t="str">
        <f t="shared" si="35"/>
        <v>-</v>
      </c>
    </row>
    <row r="85" spans="3:67" s="26" customFormat="1" ht="12.75" thickBot="1">
      <c r="C85" s="82">
        <v>60</v>
      </c>
      <c r="D85" s="83" t="str">
        <f t="shared" si="36"/>
        <v>-</v>
      </c>
      <c r="E85" s="84" t="str">
        <f t="shared" si="26"/>
        <v>-</v>
      </c>
      <c r="F85" s="77" t="str">
        <f t="shared" si="37"/>
        <v>-</v>
      </c>
      <c r="G85" s="40" t="str">
        <f t="shared" si="38"/>
        <v>-</v>
      </c>
      <c r="H85" s="41" t="str">
        <f t="shared" si="27"/>
        <v>-</v>
      </c>
      <c r="I85" s="42" t="str">
        <f t="shared" si="39"/>
        <v>-</v>
      </c>
      <c r="J85" s="42" t="str">
        <f t="shared" si="28"/>
        <v>-</v>
      </c>
      <c r="K85" s="42" t="str">
        <f t="shared" si="29"/>
        <v>-</v>
      </c>
      <c r="L85" s="42" t="str">
        <f t="shared" si="30"/>
        <v>-</v>
      </c>
      <c r="M85" s="43" t="str">
        <f t="shared" si="31"/>
        <v>-</v>
      </c>
      <c r="N85" s="48" t="str">
        <f>IF($E$7&gt;=C85,(IF(((Q85-(K85+(J84 * -1)+1))&lt;=0),1,((SUM(J$26:$J85)-(SUM($O$25:$O$27)))))),"-")</f>
        <v>-</v>
      </c>
      <c r="O85" s="45" t="str">
        <f>IF($E$7&gt;=C85,(IF((N85&lt;=0),1,((SUM($J$26:J85)-(SUM($O$25:O84)))))),"-")</f>
        <v>-</v>
      </c>
      <c r="P85" s="42" t="str">
        <f t="shared" si="32"/>
        <v>-</v>
      </c>
      <c r="Q85" s="46" t="str">
        <f t="shared" si="33"/>
        <v>-</v>
      </c>
      <c r="R85" s="47"/>
      <c r="S85" s="46" t="str">
        <f t="shared" si="34"/>
        <v>-</v>
      </c>
      <c r="T85" s="47"/>
      <c r="U85" s="47" t="str">
        <f t="shared" si="14"/>
        <v>-</v>
      </c>
      <c r="V85" s="47"/>
      <c r="W85" s="47"/>
      <c r="X85" s="47"/>
      <c r="Y85" s="47"/>
      <c r="Z85" s="47"/>
      <c r="AA85" s="31">
        <v>60</v>
      </c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BA85" s="27" t="str">
        <f t="shared" si="40"/>
        <v>-</v>
      </c>
      <c r="BC85" s="26" t="str">
        <f t="shared" ca="1" si="44"/>
        <v>2030</v>
      </c>
      <c r="BD85" s="26" t="str">
        <f t="shared" ca="1" si="42"/>
        <v>08</v>
      </c>
      <c r="BE85" s="26">
        <f t="shared" ca="1" si="43"/>
        <v>16</v>
      </c>
      <c r="BF85" s="27" t="str">
        <f t="shared" ca="1" si="45"/>
        <v>viernes</v>
      </c>
      <c r="BG85" s="27">
        <f t="shared" ca="1" si="46"/>
        <v>47711</v>
      </c>
      <c r="BK85" s="26" t="str">
        <f t="shared" ca="1" si="22"/>
        <v>2030</v>
      </c>
      <c r="BL85" s="26" t="str">
        <f t="shared" ca="1" si="25"/>
        <v>09</v>
      </c>
      <c r="BM85" s="26">
        <f t="shared" ca="1" si="24"/>
        <v>1</v>
      </c>
      <c r="BN85" s="26" t="str">
        <f t="shared" ca="1" si="21"/>
        <v>domingo</v>
      </c>
      <c r="BO85" s="27" t="str">
        <f t="shared" si="35"/>
        <v>-</v>
      </c>
    </row>
    <row r="86" spans="3:67" s="26" customFormat="1" ht="12" hidden="1">
      <c r="C86" s="79">
        <v>61</v>
      </c>
      <c r="D86" s="80" t="str">
        <f t="shared" si="36"/>
        <v>-</v>
      </c>
      <c r="E86" s="80" t="str">
        <f t="shared" si="26"/>
        <v>-</v>
      </c>
      <c r="F86" s="40" t="str">
        <f t="shared" si="37"/>
        <v>-</v>
      </c>
      <c r="G86" s="40" t="str">
        <f t="shared" si="38"/>
        <v>-</v>
      </c>
      <c r="H86" s="41" t="str">
        <f t="shared" si="27"/>
        <v>-</v>
      </c>
      <c r="I86" s="42" t="str">
        <f t="shared" si="39"/>
        <v>-</v>
      </c>
      <c r="J86" s="42" t="str">
        <f t="shared" si="28"/>
        <v>-</v>
      </c>
      <c r="K86" s="42" t="str">
        <f t="shared" si="29"/>
        <v>-</v>
      </c>
      <c r="L86" s="42" t="str">
        <f t="shared" si="30"/>
        <v>-</v>
      </c>
      <c r="M86" s="43" t="str">
        <f t="shared" si="31"/>
        <v>-</v>
      </c>
      <c r="N86" s="48" t="str">
        <f>IF($E$7&gt;=C86,(IF(((Q86-(K86+(J85 * -1)+1))&lt;=0),1,((SUM(J$26:$J86)-(SUM($O$25:$O$27)))))),"-")</f>
        <v>-</v>
      </c>
      <c r="O86" s="45" t="str">
        <f>IF($E$7&gt;=C86,(IF((N86&lt;=0),1,((SUM($J$26:J86)-(SUM($O$25:O85)))))),"-")</f>
        <v>-</v>
      </c>
      <c r="P86" s="42" t="str">
        <f t="shared" si="32"/>
        <v>-</v>
      </c>
      <c r="Q86" s="46" t="str">
        <f t="shared" si="33"/>
        <v>-</v>
      </c>
      <c r="R86" s="47"/>
      <c r="S86" s="47"/>
      <c r="T86" s="47"/>
      <c r="U86" s="47" t="e">
        <f t="shared" ref="U86:U90" si="47">+Q86+S86</f>
        <v>#VALUE!</v>
      </c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BA86" s="27" t="str">
        <f t="shared" si="40"/>
        <v>-</v>
      </c>
      <c r="BB86" s="26" t="str">
        <f t="shared" ref="BB86:BB89" si="48">TEXT(BA86,"AAAA/MM/DD")</f>
        <v>-</v>
      </c>
      <c r="BC86" s="26" t="str">
        <f t="shared" ref="BC86:BC97" ca="1" si="49">IF(VALUE(BD85)=12,TEXT(VALUE(BC85)+1,"0000"),BC85)</f>
        <v>2030</v>
      </c>
      <c r="BD86" s="26" t="str">
        <f t="shared" ca="1" si="42"/>
        <v>09</v>
      </c>
      <c r="BE86" s="26">
        <f t="shared" ca="1" si="43"/>
        <v>16</v>
      </c>
      <c r="BF86" s="27" t="str">
        <f t="shared" ref="BF86:BF97" ca="1" si="50">TEXT(VALUE(CONCATENATE(BE86,"/",BD86,"/",BC86)),"dddd")</f>
        <v>lunes</v>
      </c>
      <c r="BG86" s="27">
        <f t="shared" ref="BG86:BG97" ca="1" si="51">+VALUE(CONCATENATE(BE86,"/",BD86,"/",BC86))</f>
        <v>47742</v>
      </c>
      <c r="BK86" s="26" t="str">
        <f t="shared" ca="1" si="22"/>
        <v>2030</v>
      </c>
      <c r="BL86" s="26" t="str">
        <f t="shared" ca="1" si="25"/>
        <v>10</v>
      </c>
      <c r="BM86" s="26">
        <f t="shared" ca="1" si="24"/>
        <v>1</v>
      </c>
      <c r="BN86" s="26" t="str">
        <f t="shared" ca="1" si="21"/>
        <v>martes</v>
      </c>
      <c r="BO86" s="27" t="str">
        <f t="shared" si="35"/>
        <v>-</v>
      </c>
    </row>
    <row r="87" spans="3:67" s="26" customFormat="1" ht="12" hidden="1">
      <c r="C87" s="53">
        <v>62</v>
      </c>
      <c r="D87" s="39" t="str">
        <f t="shared" si="36"/>
        <v>-</v>
      </c>
      <c r="E87" s="39" t="str">
        <f t="shared" si="26"/>
        <v>-</v>
      </c>
      <c r="F87" s="40" t="str">
        <f t="shared" si="37"/>
        <v>-</v>
      </c>
      <c r="G87" s="40" t="str">
        <f t="shared" si="38"/>
        <v>-</v>
      </c>
      <c r="H87" s="41" t="str">
        <f t="shared" si="27"/>
        <v>-</v>
      </c>
      <c r="I87" s="42" t="str">
        <f t="shared" si="39"/>
        <v>-</v>
      </c>
      <c r="J87" s="42" t="str">
        <f t="shared" si="28"/>
        <v>-</v>
      </c>
      <c r="K87" s="42" t="str">
        <f t="shared" si="29"/>
        <v>-</v>
      </c>
      <c r="L87" s="42" t="str">
        <f t="shared" si="30"/>
        <v>-</v>
      </c>
      <c r="M87" s="43" t="str">
        <f t="shared" si="31"/>
        <v>-</v>
      </c>
      <c r="N87" s="48" t="str">
        <f>IF($E$7&gt;=C87,(IF(((Q87-(K87+(J86 * -1)+1))&lt;=0),1,((SUM(J$26:$J87)-(SUM($O$25:$O$27)))))),"-")</f>
        <v>-</v>
      </c>
      <c r="O87" s="45" t="str">
        <f>IF($E$7&gt;=C87,(IF((N87&lt;=0),1,((SUM($J$26:J87)-(SUM($O$25:O86)))))),"-")</f>
        <v>-</v>
      </c>
      <c r="P87" s="42" t="str">
        <f t="shared" si="32"/>
        <v>-</v>
      </c>
      <c r="Q87" s="46" t="str">
        <f t="shared" si="33"/>
        <v>-</v>
      </c>
      <c r="R87" s="47"/>
      <c r="S87" s="47"/>
      <c r="T87" s="47"/>
      <c r="U87" s="47" t="e">
        <f t="shared" si="47"/>
        <v>#VALUE!</v>
      </c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BA87" s="27" t="str">
        <f t="shared" si="40"/>
        <v>-</v>
      </c>
      <c r="BB87" s="26" t="str">
        <f t="shared" si="48"/>
        <v>-</v>
      </c>
      <c r="BC87" s="26" t="str">
        <f t="shared" ca="1" si="49"/>
        <v>2030</v>
      </c>
      <c r="BD87" s="26" t="str">
        <f t="shared" ca="1" si="42"/>
        <v>10</v>
      </c>
      <c r="BE87" s="26">
        <f t="shared" ca="1" si="43"/>
        <v>16</v>
      </c>
      <c r="BF87" s="27" t="str">
        <f t="shared" ca="1" si="50"/>
        <v>miércoles</v>
      </c>
      <c r="BG87" s="27">
        <f t="shared" ca="1" si="51"/>
        <v>47772</v>
      </c>
      <c r="BK87" s="26" t="str">
        <f t="shared" ca="1" si="22"/>
        <v>2030</v>
      </c>
      <c r="BL87" s="26" t="str">
        <f t="shared" ca="1" si="25"/>
        <v>11</v>
      </c>
      <c r="BM87" s="26">
        <f t="shared" ca="1" si="24"/>
        <v>1</v>
      </c>
      <c r="BN87" s="26" t="str">
        <f t="shared" ca="1" si="21"/>
        <v>viernes</v>
      </c>
      <c r="BO87" s="27" t="str">
        <f t="shared" si="35"/>
        <v>-</v>
      </c>
    </row>
    <row r="88" spans="3:67" s="26" customFormat="1" ht="12" hidden="1">
      <c r="C88" s="53">
        <v>63</v>
      </c>
      <c r="D88" s="39" t="str">
        <f t="shared" si="36"/>
        <v>-</v>
      </c>
      <c r="E88" s="39" t="str">
        <f t="shared" si="26"/>
        <v>-</v>
      </c>
      <c r="F88" s="40" t="str">
        <f t="shared" si="37"/>
        <v>-</v>
      </c>
      <c r="G88" s="40" t="str">
        <f t="shared" si="38"/>
        <v>-</v>
      </c>
      <c r="H88" s="41" t="str">
        <f t="shared" si="27"/>
        <v>-</v>
      </c>
      <c r="I88" s="42" t="str">
        <f t="shared" si="39"/>
        <v>-</v>
      </c>
      <c r="J88" s="42" t="str">
        <f t="shared" si="28"/>
        <v>-</v>
      </c>
      <c r="K88" s="42" t="str">
        <f t="shared" si="29"/>
        <v>-</v>
      </c>
      <c r="L88" s="42" t="str">
        <f t="shared" si="30"/>
        <v>-</v>
      </c>
      <c r="M88" s="43" t="str">
        <f t="shared" si="31"/>
        <v>-</v>
      </c>
      <c r="N88" s="48" t="str">
        <f>IF($E$7&gt;=C88,(IF(((Q88-(K88+(J87 * -1)+1))&lt;=0),1,((SUM(J$26:$J88)-(SUM($O$25:$O$27)))))),"-")</f>
        <v>-</v>
      </c>
      <c r="O88" s="45" t="str">
        <f>IF($E$7&gt;=C88,(IF((N88&lt;=0),1,((SUM($J$26:J88)-(SUM($O$25:O87)))))),"-")</f>
        <v>-</v>
      </c>
      <c r="P88" s="42" t="str">
        <f t="shared" si="32"/>
        <v>-</v>
      </c>
      <c r="Q88" s="46" t="str">
        <f t="shared" si="33"/>
        <v>-</v>
      </c>
      <c r="R88" s="47"/>
      <c r="S88" s="47"/>
      <c r="T88" s="47"/>
      <c r="U88" s="47" t="e">
        <f t="shared" si="47"/>
        <v>#VALUE!</v>
      </c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BA88" s="27" t="str">
        <f t="shared" si="40"/>
        <v>-</v>
      </c>
      <c r="BB88" s="26" t="str">
        <f t="shared" si="48"/>
        <v>-</v>
      </c>
      <c r="BC88" s="26" t="str">
        <f t="shared" ca="1" si="49"/>
        <v>2030</v>
      </c>
      <c r="BD88" s="26" t="str">
        <f t="shared" ca="1" si="42"/>
        <v>11</v>
      </c>
      <c r="BE88" s="26">
        <f t="shared" ca="1" si="43"/>
        <v>16</v>
      </c>
      <c r="BF88" s="27" t="str">
        <f t="shared" ca="1" si="50"/>
        <v>sábado</v>
      </c>
      <c r="BG88" s="27">
        <f t="shared" ca="1" si="51"/>
        <v>47803</v>
      </c>
      <c r="BK88" s="26" t="str">
        <f t="shared" ca="1" si="22"/>
        <v>2030</v>
      </c>
      <c r="BL88" s="26" t="str">
        <f t="shared" ca="1" si="25"/>
        <v>12</v>
      </c>
      <c r="BM88" s="26">
        <f t="shared" ca="1" si="24"/>
        <v>1</v>
      </c>
      <c r="BN88" s="26" t="str">
        <f t="shared" ca="1" si="21"/>
        <v>domingo</v>
      </c>
      <c r="BO88" s="27" t="str">
        <f t="shared" si="35"/>
        <v>-</v>
      </c>
    </row>
    <row r="89" spans="3:67" s="26" customFormat="1" ht="12" hidden="1">
      <c r="C89" s="53">
        <v>64</v>
      </c>
      <c r="D89" s="39" t="str">
        <f t="shared" si="36"/>
        <v>-</v>
      </c>
      <c r="E89" s="39" t="str">
        <f t="shared" si="26"/>
        <v>-</v>
      </c>
      <c r="F89" s="40" t="str">
        <f t="shared" si="37"/>
        <v>-</v>
      </c>
      <c r="G89" s="40" t="str">
        <f t="shared" si="38"/>
        <v>-</v>
      </c>
      <c r="H89" s="41" t="str">
        <f t="shared" si="27"/>
        <v>-</v>
      </c>
      <c r="I89" s="42" t="str">
        <f t="shared" si="39"/>
        <v>-</v>
      </c>
      <c r="J89" s="42" t="str">
        <f t="shared" si="28"/>
        <v>-</v>
      </c>
      <c r="K89" s="42" t="str">
        <f t="shared" si="29"/>
        <v>-</v>
      </c>
      <c r="L89" s="42" t="str">
        <f t="shared" si="30"/>
        <v>-</v>
      </c>
      <c r="M89" s="43" t="str">
        <f t="shared" si="31"/>
        <v>-</v>
      </c>
      <c r="N89" s="48" t="str">
        <f>IF($E$7&gt;=C89,(IF(((Q89-(K89+(J88 * -1)+1))&lt;=0),1,((SUM(J$26:$J89)-(SUM($O$25:$O$27)))))),"-")</f>
        <v>-</v>
      </c>
      <c r="O89" s="45" t="str">
        <f>IF($E$7&gt;=C89,(IF((N89&lt;=0),1,((SUM($J$26:J89)-(SUM($O$25:O88)))))),"-")</f>
        <v>-</v>
      </c>
      <c r="P89" s="42" t="str">
        <f t="shared" si="32"/>
        <v>-</v>
      </c>
      <c r="Q89" s="46" t="str">
        <f t="shared" si="33"/>
        <v>-</v>
      </c>
      <c r="R89" s="47"/>
      <c r="S89" s="47"/>
      <c r="T89" s="47"/>
      <c r="U89" s="47" t="e">
        <f t="shared" si="47"/>
        <v>#VALUE!</v>
      </c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BA89" s="27" t="str">
        <f t="shared" si="40"/>
        <v>-</v>
      </c>
      <c r="BB89" s="26" t="str">
        <f t="shared" si="48"/>
        <v>-</v>
      </c>
      <c r="BC89" s="26" t="str">
        <f t="shared" ca="1" si="49"/>
        <v>2030</v>
      </c>
      <c r="BD89" s="26" t="str">
        <f t="shared" ca="1" si="42"/>
        <v>12</v>
      </c>
      <c r="BE89" s="26">
        <f t="shared" ca="1" si="43"/>
        <v>16</v>
      </c>
      <c r="BF89" s="27" t="str">
        <f t="shared" ca="1" si="50"/>
        <v>lunes</v>
      </c>
      <c r="BG89" s="27">
        <f t="shared" ca="1" si="51"/>
        <v>47833</v>
      </c>
      <c r="BK89" s="26" t="str">
        <f t="shared" ca="1" si="22"/>
        <v>2031</v>
      </c>
      <c r="BL89" s="26" t="str">
        <f t="shared" ca="1" si="25"/>
        <v>01</v>
      </c>
      <c r="BM89" s="26">
        <f t="shared" ca="1" si="24"/>
        <v>1</v>
      </c>
      <c r="BN89" s="26" t="str">
        <f t="shared" ca="1" si="21"/>
        <v>miércoles</v>
      </c>
      <c r="BO89" s="27" t="str">
        <f t="shared" si="35"/>
        <v>-</v>
      </c>
    </row>
    <row r="90" spans="3:67" s="26" customFormat="1" ht="12" hidden="1">
      <c r="C90" s="53">
        <v>65</v>
      </c>
      <c r="D90" s="39" t="str">
        <f t="shared" si="36"/>
        <v>-</v>
      </c>
      <c r="E90" s="39" t="str">
        <f t="shared" ref="E90:E97" si="52">IF($E$21="No",IF(BF90="sábado",IF($E$7&gt;=C90,BG90+$Q$20,"-"),IF($E$7&gt;=C90,D90+$Q$20,"-")),BO90)</f>
        <v>-</v>
      </c>
      <c r="F90" s="40" t="str">
        <f t="shared" si="37"/>
        <v>-</v>
      </c>
      <c r="G90" s="40" t="str">
        <f t="shared" si="38"/>
        <v>-</v>
      </c>
      <c r="H90" s="41" t="str">
        <f t="shared" ref="H90:H97" si="53">IF($E$7&gt;=C90,ROUND(1/((1+$E$8)^(G90/360)),9),"-")</f>
        <v>-</v>
      </c>
      <c r="I90" s="42" t="str">
        <f t="shared" si="39"/>
        <v>-</v>
      </c>
      <c r="J90" s="42" t="str">
        <f t="shared" ref="J90:J97" si="54">IF($E$7=C90,I90,IF($E$7&gt;=C90,L90-K90,"-"))</f>
        <v>-</v>
      </c>
      <c r="K90" s="42" t="str">
        <f t="shared" ref="K90:K97" si="55">IF($E$7=C90,ROUND(I90*((1+$E$8)^(F90/360)-1),2),IF($E$7&gt;=C90,ROUND(I90*((1+$E$8)^(F90/360)-1),2),"-"))</f>
        <v>-</v>
      </c>
      <c r="L90" s="42" t="str">
        <f t="shared" ref="L90:L97" si="56">IF($E$7&gt;C90,ROUND($E$6/$H$98,2),IF($E$7=C90,J90+K90,"-"))</f>
        <v>-</v>
      </c>
      <c r="M90" s="43" t="str">
        <f t="shared" ref="M90:M97" si="57">IF($E$7&gt;=C90,I90-J90,"-")</f>
        <v>-</v>
      </c>
      <c r="N90" s="48" t="str">
        <f>IF($E$7&gt;=C90,(IF(((Q90-(K90+(J89 * -1)+1))&lt;=0),1,((SUM(J$26:$J90)-(SUM($O$25:$O$27)))))),"-")</f>
        <v>-</v>
      </c>
      <c r="O90" s="45" t="str">
        <f>IF($E$7&gt;=C90,(IF((N90&lt;=0),1,((SUM($J$26:J90)-(SUM($O$25:O89)))))),"-")</f>
        <v>-</v>
      </c>
      <c r="P90" s="42" t="str">
        <f t="shared" ref="P90:P97" si="58">IF($E$7&gt;=C90,(Q90-O90),"-")</f>
        <v>-</v>
      </c>
      <c r="Q90" s="46" t="str">
        <f t="shared" ref="Q90:Q97" si="59">IF($E$7&gt;=C90,(VALUE(L90)),"-")</f>
        <v>-</v>
      </c>
      <c r="R90" s="47"/>
      <c r="S90" s="47"/>
      <c r="T90" s="47"/>
      <c r="U90" s="47" t="e">
        <f t="shared" si="47"/>
        <v>#VALUE!</v>
      </c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BA90" s="27" t="str">
        <f t="shared" si="40"/>
        <v>-</v>
      </c>
      <c r="BB90" s="26" t="str">
        <f t="shared" ref="BB90:BB97" si="60">TEXT(BA90,"AAAA/MM/DD")</f>
        <v>-</v>
      </c>
      <c r="BC90" s="26" t="str">
        <f t="shared" ca="1" si="49"/>
        <v>2031</v>
      </c>
      <c r="BD90" s="26" t="str">
        <f t="shared" ca="1" si="42"/>
        <v>01</v>
      </c>
      <c r="BE90" s="26">
        <f t="shared" ca="1" si="43"/>
        <v>16</v>
      </c>
      <c r="BF90" s="27" t="str">
        <f t="shared" ca="1" si="50"/>
        <v>jueves</v>
      </c>
      <c r="BG90" s="27">
        <f t="shared" ca="1" si="51"/>
        <v>47864</v>
      </c>
      <c r="BK90" s="26" t="str">
        <f t="shared" ca="1" si="22"/>
        <v>2031</v>
      </c>
      <c r="BL90" s="26" t="str">
        <f t="shared" ca="1" si="25"/>
        <v>02</v>
      </c>
      <c r="BM90" s="26">
        <f t="shared" ca="1" si="24"/>
        <v>1</v>
      </c>
      <c r="BN90" s="26" t="str">
        <f t="shared" ca="1" si="21"/>
        <v>sábado</v>
      </c>
      <c r="BO90" s="27" t="str">
        <f t="shared" ref="BO90:BO97" si="61">IF(C90&lt;=$E$7,VALUE(CONCATENATE(BM90,"/",BL90,"/",BK90)),"-")</f>
        <v>-</v>
      </c>
    </row>
    <row r="91" spans="3:67" s="26" customFormat="1" ht="12" hidden="1">
      <c r="C91" s="53">
        <v>66</v>
      </c>
      <c r="D91" s="39" t="str">
        <f t="shared" ref="D91:D97" si="62">IF(TEXT(IF($E$7&gt;=C91,VALUE(CONCATENATE(BE91,"/",BD91,"/",BC91)),"-"),"dddd")="sábado",IF($E$7&gt;=C91,VALUE(CONCATENATE(BE91,"/",BD91,"/",BC91)),"-")-1,IF($E$7&gt;=C91,VALUE(CONCATENATE(BE91,"/",BD91,"/",BC91)),"-"))</f>
        <v>-</v>
      </c>
      <c r="E91" s="39" t="str">
        <f t="shared" si="52"/>
        <v>-</v>
      </c>
      <c r="F91" s="40" t="str">
        <f t="shared" ref="F91:F97" si="63">IF($E$7&gt;=C91,E91-E90,"-")</f>
        <v>-</v>
      </c>
      <c r="G91" s="40" t="str">
        <f t="shared" ref="G91:G97" si="64">IF($E$7&gt;=C91,G90+F91,"-")</f>
        <v>-</v>
      </c>
      <c r="H91" s="41" t="str">
        <f t="shared" si="53"/>
        <v>-</v>
      </c>
      <c r="I91" s="42" t="str">
        <f t="shared" ref="I91:I97" si="65">IF($E$7&gt;=C91,M90,"-")</f>
        <v>-</v>
      </c>
      <c r="J91" s="42" t="str">
        <f t="shared" si="54"/>
        <v>-</v>
      </c>
      <c r="K91" s="42" t="str">
        <f t="shared" si="55"/>
        <v>-</v>
      </c>
      <c r="L91" s="42" t="str">
        <f t="shared" si="56"/>
        <v>-</v>
      </c>
      <c r="M91" s="43" t="str">
        <f t="shared" si="57"/>
        <v>-</v>
      </c>
      <c r="N91" s="48" t="str">
        <f>IF($E$7&gt;=C91,(IF(((Q91-(K91+(J90 * -1)+1))&lt;=0),1,((SUM(J$26:$J91)-(SUM($O$25:$O$27)))))),"-")</f>
        <v>-</v>
      </c>
      <c r="O91" s="45" t="str">
        <f>IF($E$7&gt;=C91,(IF((N91&lt;=0),1,((SUM($J$26:J91)-(SUM($O$25:O90)))))),"-")</f>
        <v>-</v>
      </c>
      <c r="P91" s="42" t="str">
        <f t="shared" si="58"/>
        <v>-</v>
      </c>
      <c r="Q91" s="46" t="str">
        <f t="shared" si="59"/>
        <v>-</v>
      </c>
      <c r="R91" s="47"/>
      <c r="S91" s="47"/>
      <c r="T91" s="47"/>
      <c r="U91" s="47" t="e">
        <f t="shared" ref="U91:U97" si="66">+Q91+S91</f>
        <v>#VALUE!</v>
      </c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BA91" s="27" t="str">
        <f t="shared" ref="BA91:BA97" si="67">IF(TEXT(IF($E$7&gt;=C91,VALUE(CONCATENATE(BE91,"/",BD91,"/",BC91)),"-"),"dddd")="sábado",IF($E$7&gt;=C91,VALUE(CONCATENATE(BE91,"/",BD91,"/",BC91)),"-")-1,IF($E$7&gt;=C91,VALUE(CONCATENATE(BE91,"/",BD91,"/",BC91)),"-"))</f>
        <v>-</v>
      </c>
      <c r="BB91" s="26" t="str">
        <f t="shared" si="60"/>
        <v>-</v>
      </c>
      <c r="BC91" s="26" t="str">
        <f t="shared" ca="1" si="49"/>
        <v>2031</v>
      </c>
      <c r="BD91" s="26" t="str">
        <f t="shared" ca="1" si="42"/>
        <v>02</v>
      </c>
      <c r="BE91" s="26">
        <f t="shared" ca="1" si="43"/>
        <v>16</v>
      </c>
      <c r="BF91" s="27" t="str">
        <f t="shared" ca="1" si="50"/>
        <v>domingo</v>
      </c>
      <c r="BG91" s="27">
        <f t="shared" ca="1" si="51"/>
        <v>47895</v>
      </c>
      <c r="BK91" s="26" t="str">
        <f t="shared" ca="1" si="22"/>
        <v>2031</v>
      </c>
      <c r="BL91" s="26" t="str">
        <f t="shared" ca="1" si="25"/>
        <v>03</v>
      </c>
      <c r="BM91" s="26">
        <f t="shared" ca="1" si="24"/>
        <v>1</v>
      </c>
      <c r="BN91" s="26" t="str">
        <f t="shared" ref="BN91:BN97" ca="1" si="68">TEXT(VALUE(CONCATENATE(BK91,"/",BL91,"/",BM91)),"dddd")</f>
        <v>sábado</v>
      </c>
      <c r="BO91" s="27" t="str">
        <f t="shared" si="61"/>
        <v>-</v>
      </c>
    </row>
    <row r="92" spans="3:67" s="26" customFormat="1" ht="12" hidden="1">
      <c r="C92" s="53">
        <v>67</v>
      </c>
      <c r="D92" s="39" t="str">
        <f t="shared" si="62"/>
        <v>-</v>
      </c>
      <c r="E92" s="39" t="str">
        <f t="shared" si="52"/>
        <v>-</v>
      </c>
      <c r="F92" s="40" t="str">
        <f t="shared" si="63"/>
        <v>-</v>
      </c>
      <c r="G92" s="40" t="str">
        <f t="shared" si="64"/>
        <v>-</v>
      </c>
      <c r="H92" s="41" t="str">
        <f t="shared" si="53"/>
        <v>-</v>
      </c>
      <c r="I92" s="42" t="str">
        <f t="shared" si="65"/>
        <v>-</v>
      </c>
      <c r="J92" s="42" t="str">
        <f t="shared" si="54"/>
        <v>-</v>
      </c>
      <c r="K92" s="42" t="str">
        <f t="shared" si="55"/>
        <v>-</v>
      </c>
      <c r="L92" s="42" t="str">
        <f t="shared" si="56"/>
        <v>-</v>
      </c>
      <c r="M92" s="43" t="str">
        <f t="shared" si="57"/>
        <v>-</v>
      </c>
      <c r="N92" s="48" t="str">
        <f>IF($E$7&gt;=C92,(IF(((Q92-(K92+(J91 * -1)+1))&lt;=0),1,((SUM(J$26:$J92)-(SUM($O$25:$O$27)))))),"-")</f>
        <v>-</v>
      </c>
      <c r="O92" s="45" t="str">
        <f>IF($E$7&gt;=C92,(IF((N92&lt;=0),1,((SUM($J$26:J92)-(SUM($O$25:O91)))))),"-")</f>
        <v>-</v>
      </c>
      <c r="P92" s="42" t="str">
        <f t="shared" si="58"/>
        <v>-</v>
      </c>
      <c r="Q92" s="46" t="str">
        <f t="shared" si="59"/>
        <v>-</v>
      </c>
      <c r="R92" s="47"/>
      <c r="S92" s="47"/>
      <c r="T92" s="47"/>
      <c r="U92" s="47" t="e">
        <f t="shared" si="66"/>
        <v>#VALUE!</v>
      </c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BA92" s="27" t="str">
        <f t="shared" si="67"/>
        <v>-</v>
      </c>
      <c r="BB92" s="26" t="str">
        <f t="shared" si="60"/>
        <v>-</v>
      </c>
      <c r="BC92" s="26" t="str">
        <f t="shared" ca="1" si="49"/>
        <v>2031</v>
      </c>
      <c r="BD92" s="26" t="str">
        <f t="shared" ca="1" si="42"/>
        <v>03</v>
      </c>
      <c r="BE92" s="26">
        <f t="shared" ca="1" si="43"/>
        <v>16</v>
      </c>
      <c r="BF92" s="27" t="str">
        <f t="shared" ca="1" si="50"/>
        <v>domingo</v>
      </c>
      <c r="BG92" s="27">
        <f t="shared" ca="1" si="51"/>
        <v>47923</v>
      </c>
      <c r="BK92" s="26" t="str">
        <f t="shared" ref="BK92:BK97" ca="1" si="69">IF(VALUE(BL91)=12,TEXT(VALUE(BK91)+1,"0000"),BK91)</f>
        <v>2031</v>
      </c>
      <c r="BL92" s="26" t="str">
        <f t="shared" ca="1" si="25"/>
        <v>04</v>
      </c>
      <c r="BM92" s="26">
        <f t="shared" ref="BM92:BM97" ca="1" si="70">+BM91</f>
        <v>1</v>
      </c>
      <c r="BN92" s="26" t="str">
        <f t="shared" ca="1" si="68"/>
        <v>martes</v>
      </c>
      <c r="BO92" s="27" t="str">
        <f t="shared" si="61"/>
        <v>-</v>
      </c>
    </row>
    <row r="93" spans="3:67" s="26" customFormat="1" ht="12" hidden="1">
      <c r="C93" s="53">
        <v>68</v>
      </c>
      <c r="D93" s="39" t="str">
        <f t="shared" si="62"/>
        <v>-</v>
      </c>
      <c r="E93" s="39" t="str">
        <f t="shared" si="52"/>
        <v>-</v>
      </c>
      <c r="F93" s="40" t="str">
        <f t="shared" si="63"/>
        <v>-</v>
      </c>
      <c r="G93" s="40" t="str">
        <f t="shared" si="64"/>
        <v>-</v>
      </c>
      <c r="H93" s="41" t="str">
        <f t="shared" si="53"/>
        <v>-</v>
      </c>
      <c r="I93" s="42" t="str">
        <f t="shared" si="65"/>
        <v>-</v>
      </c>
      <c r="J93" s="42" t="str">
        <f t="shared" si="54"/>
        <v>-</v>
      </c>
      <c r="K93" s="42" t="str">
        <f t="shared" si="55"/>
        <v>-</v>
      </c>
      <c r="L93" s="42" t="str">
        <f t="shared" si="56"/>
        <v>-</v>
      </c>
      <c r="M93" s="43" t="str">
        <f t="shared" si="57"/>
        <v>-</v>
      </c>
      <c r="N93" s="48" t="str">
        <f>IF($E$7&gt;=C93,(IF(((Q93-(K93+(J92 * -1)+1))&lt;=0),1,((SUM(J$26:$J93)-(SUM($O$25:$O$27)))))),"-")</f>
        <v>-</v>
      </c>
      <c r="O93" s="45" t="str">
        <f>IF($E$7&gt;=C93,(IF((N93&lt;=0),1,((SUM($J$26:J93)-(SUM($O$25:O92)))))),"-")</f>
        <v>-</v>
      </c>
      <c r="P93" s="42" t="str">
        <f t="shared" si="58"/>
        <v>-</v>
      </c>
      <c r="Q93" s="46" t="str">
        <f t="shared" si="59"/>
        <v>-</v>
      </c>
      <c r="R93" s="47"/>
      <c r="S93" s="47"/>
      <c r="T93" s="47"/>
      <c r="U93" s="47" t="e">
        <f t="shared" si="66"/>
        <v>#VALUE!</v>
      </c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BA93" s="27" t="str">
        <f t="shared" si="67"/>
        <v>-</v>
      </c>
      <c r="BB93" s="26" t="str">
        <f t="shared" si="60"/>
        <v>-</v>
      </c>
      <c r="BC93" s="26" t="str">
        <f t="shared" ca="1" si="49"/>
        <v>2031</v>
      </c>
      <c r="BD93" s="26" t="str">
        <f t="shared" ca="1" si="42"/>
        <v>04</v>
      </c>
      <c r="BE93" s="26">
        <f t="shared" ca="1" si="43"/>
        <v>16</v>
      </c>
      <c r="BF93" s="27" t="str">
        <f t="shared" ca="1" si="50"/>
        <v>miércoles</v>
      </c>
      <c r="BG93" s="27">
        <f t="shared" ca="1" si="51"/>
        <v>47954</v>
      </c>
      <c r="BK93" s="26" t="str">
        <f t="shared" ca="1" si="69"/>
        <v>2031</v>
      </c>
      <c r="BL93" s="26" t="str">
        <f t="shared" ca="1" si="25"/>
        <v>05</v>
      </c>
      <c r="BM93" s="26">
        <f t="shared" ca="1" si="70"/>
        <v>1</v>
      </c>
      <c r="BN93" s="26" t="str">
        <f t="shared" ca="1" si="68"/>
        <v>jueves</v>
      </c>
      <c r="BO93" s="27" t="str">
        <f t="shared" si="61"/>
        <v>-</v>
      </c>
    </row>
    <row r="94" spans="3:67" s="26" customFormat="1" ht="12" hidden="1">
      <c r="C94" s="53">
        <v>69</v>
      </c>
      <c r="D94" s="39" t="str">
        <f t="shared" si="62"/>
        <v>-</v>
      </c>
      <c r="E94" s="39" t="str">
        <f t="shared" si="52"/>
        <v>-</v>
      </c>
      <c r="F94" s="40" t="str">
        <f t="shared" si="63"/>
        <v>-</v>
      </c>
      <c r="G94" s="40" t="str">
        <f t="shared" si="64"/>
        <v>-</v>
      </c>
      <c r="H94" s="41" t="str">
        <f t="shared" si="53"/>
        <v>-</v>
      </c>
      <c r="I94" s="42" t="str">
        <f t="shared" si="65"/>
        <v>-</v>
      </c>
      <c r="J94" s="42" t="str">
        <f t="shared" si="54"/>
        <v>-</v>
      </c>
      <c r="K94" s="42" t="str">
        <f t="shared" si="55"/>
        <v>-</v>
      </c>
      <c r="L94" s="42" t="str">
        <f t="shared" si="56"/>
        <v>-</v>
      </c>
      <c r="M94" s="43" t="str">
        <f t="shared" si="57"/>
        <v>-</v>
      </c>
      <c r="N94" s="48" t="str">
        <f>IF($E$7&gt;=C94,(IF(((Q94-(K94+(J93 * -1)+1))&lt;=0),1,((SUM(J$26:$J94)-(SUM($O$25:$O$27)))))),"-")</f>
        <v>-</v>
      </c>
      <c r="O94" s="45" t="str">
        <f>IF($E$7&gt;=C94,(IF((N94&lt;=0),1,((SUM($J$26:J94)-(SUM($O$25:O93)))))),"-")</f>
        <v>-</v>
      </c>
      <c r="P94" s="42" t="str">
        <f t="shared" si="58"/>
        <v>-</v>
      </c>
      <c r="Q94" s="46" t="str">
        <f t="shared" si="59"/>
        <v>-</v>
      </c>
      <c r="R94" s="47"/>
      <c r="S94" s="47"/>
      <c r="T94" s="47"/>
      <c r="U94" s="47" t="e">
        <f t="shared" si="66"/>
        <v>#VALUE!</v>
      </c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BA94" s="27" t="str">
        <f t="shared" si="67"/>
        <v>-</v>
      </c>
      <c r="BB94" s="26" t="str">
        <f t="shared" si="60"/>
        <v>-</v>
      </c>
      <c r="BC94" s="26" t="str">
        <f t="shared" ca="1" si="49"/>
        <v>2031</v>
      </c>
      <c r="BD94" s="26" t="str">
        <f t="shared" ca="1" si="42"/>
        <v>05</v>
      </c>
      <c r="BE94" s="26">
        <f t="shared" ca="1" si="43"/>
        <v>16</v>
      </c>
      <c r="BF94" s="27" t="str">
        <f t="shared" ca="1" si="50"/>
        <v>viernes</v>
      </c>
      <c r="BG94" s="27">
        <f t="shared" ca="1" si="51"/>
        <v>47984</v>
      </c>
      <c r="BK94" s="26" t="str">
        <f t="shared" ca="1" si="69"/>
        <v>2031</v>
      </c>
      <c r="BL94" s="26" t="str">
        <f t="shared" ca="1" si="25"/>
        <v>06</v>
      </c>
      <c r="BM94" s="26">
        <f t="shared" ca="1" si="70"/>
        <v>1</v>
      </c>
      <c r="BN94" s="26" t="str">
        <f t="shared" ca="1" si="68"/>
        <v>domingo</v>
      </c>
      <c r="BO94" s="27" t="str">
        <f t="shared" si="61"/>
        <v>-</v>
      </c>
    </row>
    <row r="95" spans="3:67" s="26" customFormat="1" ht="12" hidden="1">
      <c r="C95" s="53">
        <v>70</v>
      </c>
      <c r="D95" s="39" t="str">
        <f t="shared" si="62"/>
        <v>-</v>
      </c>
      <c r="E95" s="39" t="str">
        <f t="shared" si="52"/>
        <v>-</v>
      </c>
      <c r="F95" s="40" t="str">
        <f t="shared" si="63"/>
        <v>-</v>
      </c>
      <c r="G95" s="40" t="str">
        <f t="shared" si="64"/>
        <v>-</v>
      </c>
      <c r="H95" s="41" t="str">
        <f t="shared" si="53"/>
        <v>-</v>
      </c>
      <c r="I95" s="42" t="str">
        <f t="shared" si="65"/>
        <v>-</v>
      </c>
      <c r="J95" s="42" t="str">
        <f t="shared" si="54"/>
        <v>-</v>
      </c>
      <c r="K95" s="42" t="str">
        <f t="shared" si="55"/>
        <v>-</v>
      </c>
      <c r="L95" s="42" t="str">
        <f t="shared" si="56"/>
        <v>-</v>
      </c>
      <c r="M95" s="43" t="str">
        <f t="shared" si="57"/>
        <v>-</v>
      </c>
      <c r="N95" s="48" t="str">
        <f>IF($E$7&gt;=C95,(IF(((Q95-(K95+(J94 * -1)+1))&lt;=0),1,((SUM(J$26:$J95)-(SUM($O$25:$O$27)))))),"-")</f>
        <v>-</v>
      </c>
      <c r="O95" s="45" t="str">
        <f>IF($E$7&gt;=C95,(IF((N95&lt;=0),1,((SUM($J$26:J95)-(SUM($O$25:O94)))))),"-")</f>
        <v>-</v>
      </c>
      <c r="P95" s="42" t="str">
        <f t="shared" si="58"/>
        <v>-</v>
      </c>
      <c r="Q95" s="46" t="str">
        <f t="shared" si="59"/>
        <v>-</v>
      </c>
      <c r="R95" s="47"/>
      <c r="S95" s="47"/>
      <c r="T95" s="47"/>
      <c r="U95" s="47" t="e">
        <f t="shared" si="66"/>
        <v>#VALUE!</v>
      </c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BA95" s="27" t="str">
        <f t="shared" si="67"/>
        <v>-</v>
      </c>
      <c r="BB95" s="26" t="str">
        <f t="shared" si="60"/>
        <v>-</v>
      </c>
      <c r="BC95" s="26" t="str">
        <f t="shared" ca="1" si="49"/>
        <v>2031</v>
      </c>
      <c r="BD95" s="26" t="str">
        <f t="shared" ca="1" si="42"/>
        <v>06</v>
      </c>
      <c r="BE95" s="26">
        <f t="shared" ca="1" si="43"/>
        <v>16</v>
      </c>
      <c r="BF95" s="27" t="str">
        <f t="shared" ca="1" si="50"/>
        <v>lunes</v>
      </c>
      <c r="BG95" s="27">
        <f t="shared" ca="1" si="51"/>
        <v>48015</v>
      </c>
      <c r="BK95" s="26" t="str">
        <f t="shared" ca="1" si="69"/>
        <v>2031</v>
      </c>
      <c r="BL95" s="26" t="str">
        <f t="shared" ca="1" si="25"/>
        <v>07</v>
      </c>
      <c r="BM95" s="26">
        <f t="shared" ca="1" si="70"/>
        <v>1</v>
      </c>
      <c r="BN95" s="26" t="str">
        <f t="shared" ca="1" si="68"/>
        <v>martes</v>
      </c>
      <c r="BO95" s="27" t="str">
        <f t="shared" si="61"/>
        <v>-</v>
      </c>
    </row>
    <row r="96" spans="3:67" s="26" customFormat="1" ht="12" hidden="1">
      <c r="C96" s="53">
        <v>71</v>
      </c>
      <c r="D96" s="39" t="str">
        <f t="shared" si="62"/>
        <v>-</v>
      </c>
      <c r="E96" s="39" t="str">
        <f t="shared" si="52"/>
        <v>-</v>
      </c>
      <c r="F96" s="40" t="str">
        <f t="shared" si="63"/>
        <v>-</v>
      </c>
      <c r="G96" s="40" t="str">
        <f t="shared" si="64"/>
        <v>-</v>
      </c>
      <c r="H96" s="41" t="str">
        <f t="shared" si="53"/>
        <v>-</v>
      </c>
      <c r="I96" s="42" t="str">
        <f t="shared" si="65"/>
        <v>-</v>
      </c>
      <c r="J96" s="42" t="str">
        <f t="shared" si="54"/>
        <v>-</v>
      </c>
      <c r="K96" s="42" t="str">
        <f t="shared" si="55"/>
        <v>-</v>
      </c>
      <c r="L96" s="42" t="str">
        <f t="shared" si="56"/>
        <v>-</v>
      </c>
      <c r="M96" s="43" t="str">
        <f t="shared" si="57"/>
        <v>-</v>
      </c>
      <c r="N96" s="48" t="str">
        <f>IF($E$7&gt;=C96,(IF(((Q96-(K96+(J95 * -1)+1))&lt;=0),1,((SUM(J$26:$J96)-(SUM($O$25:$O$27)))))),"-")</f>
        <v>-</v>
      </c>
      <c r="O96" s="45" t="str">
        <f>IF($E$7&gt;=C96,(IF((N96&lt;=0),1,((SUM($J$26:J96)-(SUM($O$25:O95)))))),"-")</f>
        <v>-</v>
      </c>
      <c r="P96" s="42" t="str">
        <f t="shared" si="58"/>
        <v>-</v>
      </c>
      <c r="Q96" s="46" t="str">
        <f t="shared" si="59"/>
        <v>-</v>
      </c>
      <c r="R96" s="47"/>
      <c r="S96" s="47"/>
      <c r="T96" s="47"/>
      <c r="U96" s="47" t="e">
        <f t="shared" si="66"/>
        <v>#VALUE!</v>
      </c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BA96" s="27" t="str">
        <f t="shared" si="67"/>
        <v>-</v>
      </c>
      <c r="BB96" s="26" t="str">
        <f t="shared" si="60"/>
        <v>-</v>
      </c>
      <c r="BC96" s="26" t="str">
        <f t="shared" ca="1" si="49"/>
        <v>2031</v>
      </c>
      <c r="BD96" s="26" t="str">
        <f t="shared" ca="1" si="42"/>
        <v>07</v>
      </c>
      <c r="BE96" s="26">
        <f t="shared" ca="1" si="43"/>
        <v>16</v>
      </c>
      <c r="BF96" s="27" t="str">
        <f t="shared" ca="1" si="50"/>
        <v>miércoles</v>
      </c>
      <c r="BG96" s="27">
        <f t="shared" ca="1" si="51"/>
        <v>48045</v>
      </c>
      <c r="BK96" s="26" t="str">
        <f t="shared" ca="1" si="69"/>
        <v>2031</v>
      </c>
      <c r="BL96" s="26" t="str">
        <f t="shared" ca="1" si="25"/>
        <v>08</v>
      </c>
      <c r="BM96" s="26">
        <f t="shared" ca="1" si="70"/>
        <v>1</v>
      </c>
      <c r="BN96" s="26" t="str">
        <f t="shared" ca="1" si="68"/>
        <v>viernes</v>
      </c>
      <c r="BO96" s="27" t="str">
        <f t="shared" si="61"/>
        <v>-</v>
      </c>
    </row>
    <row r="97" spans="3:67" s="26" customFormat="1" ht="12" hidden="1">
      <c r="C97" s="71">
        <v>72</v>
      </c>
      <c r="D97" s="72" t="str">
        <f t="shared" si="62"/>
        <v>-</v>
      </c>
      <c r="E97" s="39" t="str">
        <f t="shared" si="52"/>
        <v>-</v>
      </c>
      <c r="F97" s="40" t="str">
        <f t="shared" si="63"/>
        <v>-</v>
      </c>
      <c r="G97" s="40" t="str">
        <f t="shared" si="64"/>
        <v>-</v>
      </c>
      <c r="H97" s="41" t="str">
        <f t="shared" si="53"/>
        <v>-</v>
      </c>
      <c r="I97" s="42" t="str">
        <f t="shared" si="65"/>
        <v>-</v>
      </c>
      <c r="J97" s="42" t="str">
        <f t="shared" si="54"/>
        <v>-</v>
      </c>
      <c r="K97" s="42" t="str">
        <f t="shared" si="55"/>
        <v>-</v>
      </c>
      <c r="L97" s="42" t="str">
        <f t="shared" si="56"/>
        <v>-</v>
      </c>
      <c r="M97" s="43" t="str">
        <f t="shared" si="57"/>
        <v>-</v>
      </c>
      <c r="N97" s="48" t="str">
        <f>IF($E$7&gt;=C97,(IF(((Q97-(K97+(J96 * -1)+1))&lt;=0),1,((SUM(J$26:$J97)-(SUM($O$25:$O$27)))))),"-")</f>
        <v>-</v>
      </c>
      <c r="O97" s="45" t="str">
        <f>IF($E$7&gt;=C97,(IF((N97&lt;=0),1,((SUM($J$26:J97)-(SUM($O$25:O96)))))),"-")</f>
        <v>-</v>
      </c>
      <c r="P97" s="42" t="str">
        <f t="shared" si="58"/>
        <v>-</v>
      </c>
      <c r="Q97" s="46" t="str">
        <f t="shared" si="59"/>
        <v>-</v>
      </c>
      <c r="R97" s="47"/>
      <c r="S97" s="47"/>
      <c r="T97" s="47"/>
      <c r="U97" s="47" t="e">
        <f t="shared" si="66"/>
        <v>#VALUE!</v>
      </c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BA97" s="27" t="str">
        <f t="shared" si="67"/>
        <v>-</v>
      </c>
      <c r="BB97" s="26" t="str">
        <f t="shared" si="60"/>
        <v>-</v>
      </c>
      <c r="BC97" s="26" t="str">
        <f t="shared" ca="1" si="49"/>
        <v>2031</v>
      </c>
      <c r="BD97" s="26" t="str">
        <f t="shared" ca="1" si="42"/>
        <v>08</v>
      </c>
      <c r="BE97" s="26">
        <f t="shared" ca="1" si="43"/>
        <v>16</v>
      </c>
      <c r="BF97" s="27" t="str">
        <f t="shared" ca="1" si="50"/>
        <v>sábado</v>
      </c>
      <c r="BG97" s="27">
        <f t="shared" ca="1" si="51"/>
        <v>48076</v>
      </c>
      <c r="BK97" s="26" t="str">
        <f t="shared" ca="1" si="69"/>
        <v>2031</v>
      </c>
      <c r="BL97" s="26" t="str">
        <f t="shared" ca="1" si="25"/>
        <v>09</v>
      </c>
      <c r="BM97" s="26">
        <f t="shared" ca="1" si="70"/>
        <v>1</v>
      </c>
      <c r="BN97" s="26" t="str">
        <f t="shared" ca="1" si="68"/>
        <v>lunes</v>
      </c>
      <c r="BO97" s="27" t="str">
        <f t="shared" si="61"/>
        <v>-</v>
      </c>
    </row>
    <row r="98" spans="3:67" s="26" customFormat="1" ht="12.75" thickBot="1">
      <c r="C98" s="73"/>
      <c r="D98" s="73"/>
      <c r="E98" s="85" t="s">
        <v>39</v>
      </c>
      <c r="F98" s="54">
        <f ca="1">SUM(F26:F97)</f>
        <v>1096</v>
      </c>
      <c r="G98" s="55"/>
      <c r="H98" s="56">
        <f ca="1">SUM(H26:H97)</f>
        <v>31.598679085000001</v>
      </c>
      <c r="I98" s="57"/>
      <c r="J98" s="58">
        <f ca="1">SUM(J26:J97)</f>
        <v>3999.9999999999995</v>
      </c>
      <c r="K98" s="58">
        <f ca="1">SUM(K26:K97)</f>
        <v>557.11999999999978</v>
      </c>
      <c r="L98" s="58">
        <f ca="1">SUM(L26:L97)</f>
        <v>4557.1200000000026</v>
      </c>
      <c r="M98" s="59"/>
      <c r="N98" s="60"/>
      <c r="O98" s="61">
        <f ca="1">SUM(O26:O97)</f>
        <v>3999.9999999999995</v>
      </c>
      <c r="P98" s="58">
        <f ca="1">SUM(P26:P97)</f>
        <v>557.12000000000103</v>
      </c>
      <c r="Q98" s="62">
        <f ca="1">SUM(Q26:Q97)</f>
        <v>4557.1200000000026</v>
      </c>
      <c r="R98" s="62"/>
      <c r="S98" s="62">
        <f ca="1">SUM(S26:S97)</f>
        <v>269.83347999999989</v>
      </c>
      <c r="T98" s="96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</row>
    <row r="99" spans="3:67" s="26" customFormat="1" ht="12.75" thickBot="1">
      <c r="I99" s="66" t="s">
        <v>37</v>
      </c>
    </row>
  </sheetData>
  <sheetProtection algorithmName="SHA-512" hashValue="PrpZBl7VyVT21bM3fGXmMk+Q7XEPshhYj6ZYCJnJzg31yIQfsuDBRsdoB2RC4diaPgj/mX1b7LoKqDPTbfzN3w==" saltValue="SYqjPFWg0Blu61572b+TXQ==" spinCount="100000" sheet="1" selectLockedCells="1"/>
  <protectedRanges>
    <protectedRange sqref="S8 E8 E10:E13 E15:E21" name="Rango1"/>
  </protectedRanges>
  <mergeCells count="15">
    <mergeCell ref="C6:D6"/>
    <mergeCell ref="C7:D7"/>
    <mergeCell ref="C8:D8"/>
    <mergeCell ref="O19:P19"/>
    <mergeCell ref="C4:S4"/>
    <mergeCell ref="P6:Q6"/>
    <mergeCell ref="P8:Q8"/>
    <mergeCell ref="C11:S11"/>
    <mergeCell ref="C12:S12"/>
    <mergeCell ref="P9:Q9"/>
    <mergeCell ref="Y21:Z21"/>
    <mergeCell ref="C13:S13"/>
    <mergeCell ref="C14:S14"/>
    <mergeCell ref="C15:S15"/>
    <mergeCell ref="O23:Q23"/>
  </mergeCells>
  <phoneticPr fontId="0" type="noConversion"/>
  <dataValidations count="3">
    <dataValidation type="list" allowBlank="1" showInputMessage="1" showErrorMessage="1" sqref="E7" xr:uid="{A9EEADFA-DB03-46B4-8ED1-B56615A09956}">
      <formula1>$AA$27:$AA$85</formula1>
    </dataValidation>
    <dataValidation type="decimal" allowBlank="1" showInputMessage="1" showErrorMessage="1" sqref="E6" xr:uid="{9152D1E5-B741-42E3-95DB-6CE3C7F73C6D}">
      <formula1>1</formula1>
      <formula2>200000</formula2>
    </dataValidation>
    <dataValidation type="decimal" allowBlank="1" showInputMessage="1" showErrorMessage="1" sqref="E8" xr:uid="{A834A2B4-FFC6-456A-93B7-92C268F55CFE}">
      <formula1>0.0599</formula1>
      <formula2>1.5</formula2>
    </dataValidation>
  </dataValidations>
  <printOptions horizontalCentered="1" verticalCentered="1"/>
  <pageMargins left="0.27559055118110237" right="0.51181102362204722" top="0.78740157480314965" bottom="0.82677165354330717" header="0" footer="0"/>
  <pageSetup paperSize="9" scale="71" orientation="landscape" r:id="rId1"/>
  <headerFooter alignWithMargins="0"/>
  <rowBreaks count="1" manualBreakCount="1">
    <brk id="48" max="22" man="1"/>
  </rowBreaks>
  <ignoredErrors>
    <ignoredError sqref="S26:S49 S50:S85 Q1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D100"/>
  <sheetViews>
    <sheetView workbookViewId="0">
      <selection activeCell="C32" sqref="C32"/>
    </sheetView>
  </sheetViews>
  <sheetFormatPr baseColWidth="10" defaultColWidth="11.42578125" defaultRowHeight="12.75"/>
  <cols>
    <col min="1" max="1" width="16.28515625" style="3" bestFit="1" customWidth="1"/>
    <col min="2" max="2" width="13.42578125" style="3" customWidth="1"/>
    <col min="3" max="3" width="38" style="3" bestFit="1" customWidth="1"/>
    <col min="4" max="4" width="16.5703125" style="3" bestFit="1" customWidth="1"/>
    <col min="5" max="5" width="38" style="3" bestFit="1" customWidth="1"/>
    <col min="6" max="6" width="16.5703125" style="3" bestFit="1" customWidth="1"/>
    <col min="7" max="16384" width="11.42578125" style="3"/>
  </cols>
  <sheetData>
    <row r="1" spans="1:4" s="1" customFormat="1">
      <c r="B1" s="1" t="s">
        <v>17</v>
      </c>
      <c r="C1" s="2">
        <v>5062.49</v>
      </c>
    </row>
    <row r="2" spans="1:4">
      <c r="B2" s="1" t="s">
        <v>11</v>
      </c>
      <c r="C2" s="4">
        <v>0.158</v>
      </c>
      <c r="D2" s="1"/>
    </row>
    <row r="3" spans="1:4" hidden="1">
      <c r="A3" s="128" t="s">
        <v>18</v>
      </c>
      <c r="B3" s="129"/>
      <c r="C3" s="129"/>
      <c r="D3" s="129"/>
    </row>
    <row r="4" spans="1:4" hidden="1">
      <c r="A4" s="5" t="s">
        <v>19</v>
      </c>
      <c r="B4" s="5" t="s">
        <v>20</v>
      </c>
      <c r="C4" s="5" t="s">
        <v>15</v>
      </c>
      <c r="D4" s="5" t="s">
        <v>21</v>
      </c>
    </row>
    <row r="5" spans="1:4" hidden="1">
      <c r="A5" s="5"/>
      <c r="B5" s="5"/>
      <c r="C5" s="6" t="s">
        <v>22</v>
      </c>
      <c r="D5" s="5"/>
    </row>
    <row r="6" spans="1:4" hidden="1">
      <c r="A6" s="7">
        <v>0</v>
      </c>
      <c r="B6" s="7"/>
      <c r="C6" s="7"/>
      <c r="D6" s="7"/>
    </row>
    <row r="7" spans="1:4" hidden="1">
      <c r="A7" s="7">
        <v>1</v>
      </c>
      <c r="B7" s="8" t="e">
        <f>#REF!</f>
        <v>#REF!</v>
      </c>
      <c r="C7" s="9" t="e">
        <f t="shared" ref="C7:C26" si="0">1/((1+$C$2)^(B7/360))</f>
        <v>#REF!</v>
      </c>
      <c r="D7" s="10">
        <f>C1</f>
        <v>5062.49</v>
      </c>
    </row>
    <row r="8" spans="1:4" hidden="1">
      <c r="A8" s="7">
        <f>A7+1</f>
        <v>2</v>
      </c>
      <c r="B8" s="8" t="e">
        <f>B7+#REF!</f>
        <v>#REF!</v>
      </c>
      <c r="C8" s="9" t="e">
        <f t="shared" si="0"/>
        <v>#REF!</v>
      </c>
      <c r="D8" s="10" t="e">
        <f>D7-#REF!</f>
        <v>#REF!</v>
      </c>
    </row>
    <row r="9" spans="1:4" hidden="1">
      <c r="A9" s="7">
        <f t="shared" ref="A9:A22" si="1">A8+1</f>
        <v>3</v>
      </c>
      <c r="B9" s="8" t="e">
        <f>B8+#REF!</f>
        <v>#REF!</v>
      </c>
      <c r="C9" s="9" t="e">
        <f t="shared" si="0"/>
        <v>#REF!</v>
      </c>
      <c r="D9" s="10" t="e">
        <f>D8-#REF!</f>
        <v>#REF!</v>
      </c>
    </row>
    <row r="10" spans="1:4" hidden="1">
      <c r="A10" s="7">
        <f t="shared" si="1"/>
        <v>4</v>
      </c>
      <c r="B10" s="8" t="e">
        <f>B9+#REF!</f>
        <v>#REF!</v>
      </c>
      <c r="C10" s="9" t="e">
        <f t="shared" si="0"/>
        <v>#REF!</v>
      </c>
      <c r="D10" s="10" t="e">
        <f>D9-#REF!</f>
        <v>#REF!</v>
      </c>
    </row>
    <row r="11" spans="1:4" hidden="1">
      <c r="A11" s="7">
        <f t="shared" si="1"/>
        <v>5</v>
      </c>
      <c r="B11" s="8" t="e">
        <f>B10+#REF!</f>
        <v>#REF!</v>
      </c>
      <c r="C11" s="9" t="e">
        <f t="shared" si="0"/>
        <v>#REF!</v>
      </c>
      <c r="D11" s="10" t="e">
        <f>D10-#REF!</f>
        <v>#REF!</v>
      </c>
    </row>
    <row r="12" spans="1:4" hidden="1">
      <c r="A12" s="7">
        <f t="shared" si="1"/>
        <v>6</v>
      </c>
      <c r="B12" s="8" t="e">
        <f>B11+#REF!</f>
        <v>#REF!</v>
      </c>
      <c r="C12" s="9" t="e">
        <f t="shared" si="0"/>
        <v>#REF!</v>
      </c>
      <c r="D12" s="10" t="e">
        <f>D11-#REF!</f>
        <v>#REF!</v>
      </c>
    </row>
    <row r="13" spans="1:4" hidden="1">
      <c r="A13" s="7">
        <f t="shared" si="1"/>
        <v>7</v>
      </c>
      <c r="B13" s="8" t="e">
        <f>B12+#REF!</f>
        <v>#REF!</v>
      </c>
      <c r="C13" s="9" t="e">
        <f t="shared" si="0"/>
        <v>#REF!</v>
      </c>
      <c r="D13" s="10" t="e">
        <f>D12-#REF!</f>
        <v>#REF!</v>
      </c>
    </row>
    <row r="14" spans="1:4" hidden="1">
      <c r="A14" s="7">
        <f t="shared" si="1"/>
        <v>8</v>
      </c>
      <c r="B14" s="8" t="e">
        <f>B13+#REF!</f>
        <v>#REF!</v>
      </c>
      <c r="C14" s="9" t="e">
        <f t="shared" si="0"/>
        <v>#REF!</v>
      </c>
      <c r="D14" s="10" t="e">
        <f>D13-#REF!</f>
        <v>#REF!</v>
      </c>
    </row>
    <row r="15" spans="1:4" hidden="1">
      <c r="A15" s="7">
        <f t="shared" si="1"/>
        <v>9</v>
      </c>
      <c r="B15" s="8" t="e">
        <f>B14+#REF!</f>
        <v>#REF!</v>
      </c>
      <c r="C15" s="9" t="e">
        <f t="shared" si="0"/>
        <v>#REF!</v>
      </c>
      <c r="D15" s="10" t="e">
        <f>D14-#REF!</f>
        <v>#REF!</v>
      </c>
    </row>
    <row r="16" spans="1:4" hidden="1">
      <c r="A16" s="7">
        <f t="shared" si="1"/>
        <v>10</v>
      </c>
      <c r="B16" s="8" t="e">
        <f>B15+#REF!</f>
        <v>#REF!</v>
      </c>
      <c r="C16" s="9" t="e">
        <f t="shared" si="0"/>
        <v>#REF!</v>
      </c>
      <c r="D16" s="10" t="e">
        <f>D15-#REF!</f>
        <v>#REF!</v>
      </c>
    </row>
    <row r="17" spans="1:4" hidden="1">
      <c r="A17" s="7">
        <f t="shared" si="1"/>
        <v>11</v>
      </c>
      <c r="B17" s="8" t="e">
        <f>B16+#REF!</f>
        <v>#REF!</v>
      </c>
      <c r="C17" s="9" t="e">
        <f t="shared" si="0"/>
        <v>#REF!</v>
      </c>
      <c r="D17" s="10" t="e">
        <f>D16-#REF!</f>
        <v>#REF!</v>
      </c>
    </row>
    <row r="18" spans="1:4" hidden="1">
      <c r="A18" s="7">
        <f t="shared" si="1"/>
        <v>12</v>
      </c>
      <c r="B18" s="8" t="e">
        <f>B17+#REF!</f>
        <v>#REF!</v>
      </c>
      <c r="C18" s="9" t="e">
        <f t="shared" si="0"/>
        <v>#REF!</v>
      </c>
      <c r="D18" s="10" t="e">
        <f>D17-#REF!</f>
        <v>#REF!</v>
      </c>
    </row>
    <row r="19" spans="1:4" hidden="1">
      <c r="A19" s="7">
        <f t="shared" si="1"/>
        <v>13</v>
      </c>
      <c r="B19" s="8" t="e">
        <f>B18+#REF!</f>
        <v>#REF!</v>
      </c>
      <c r="C19" s="9" t="e">
        <f t="shared" si="0"/>
        <v>#REF!</v>
      </c>
      <c r="D19" s="10" t="e">
        <f>D18-#REF!</f>
        <v>#REF!</v>
      </c>
    </row>
    <row r="20" spans="1:4" hidden="1">
      <c r="A20" s="7">
        <f t="shared" si="1"/>
        <v>14</v>
      </c>
      <c r="B20" s="8" t="e">
        <f>B19+#REF!</f>
        <v>#REF!</v>
      </c>
      <c r="C20" s="9" t="e">
        <f t="shared" si="0"/>
        <v>#REF!</v>
      </c>
      <c r="D20" s="10" t="e">
        <f>D19-#REF!</f>
        <v>#REF!</v>
      </c>
    </row>
    <row r="21" spans="1:4" hidden="1">
      <c r="A21" s="7">
        <f t="shared" si="1"/>
        <v>15</v>
      </c>
      <c r="B21" s="8" t="e">
        <f>B20+#REF!</f>
        <v>#REF!</v>
      </c>
      <c r="C21" s="9" t="e">
        <f t="shared" si="0"/>
        <v>#REF!</v>
      </c>
      <c r="D21" s="10" t="e">
        <f>D20-#REF!</f>
        <v>#REF!</v>
      </c>
    </row>
    <row r="22" spans="1:4" hidden="1">
      <c r="A22" s="7">
        <f t="shared" si="1"/>
        <v>16</v>
      </c>
      <c r="B22" s="8" t="e">
        <f>B21+#REF!</f>
        <v>#REF!</v>
      </c>
      <c r="C22" s="9" t="e">
        <f t="shared" si="0"/>
        <v>#REF!</v>
      </c>
      <c r="D22" s="10" t="e">
        <f>D21-#REF!</f>
        <v>#REF!</v>
      </c>
    </row>
    <row r="23" spans="1:4" hidden="1">
      <c r="A23" s="7">
        <f>A22+1</f>
        <v>17</v>
      </c>
      <c r="B23" s="8" t="e">
        <f>B22+#REF!</f>
        <v>#REF!</v>
      </c>
      <c r="C23" s="9" t="e">
        <f t="shared" si="0"/>
        <v>#REF!</v>
      </c>
      <c r="D23" s="10" t="e">
        <f>D22-#REF!</f>
        <v>#REF!</v>
      </c>
    </row>
    <row r="24" spans="1:4" hidden="1">
      <c r="A24" s="7">
        <f>A23+1</f>
        <v>18</v>
      </c>
      <c r="B24" s="8" t="e">
        <f>B23+#REF!</f>
        <v>#REF!</v>
      </c>
      <c r="C24" s="9" t="e">
        <f t="shared" si="0"/>
        <v>#REF!</v>
      </c>
      <c r="D24" s="10" t="e">
        <f>D23-#REF!</f>
        <v>#REF!</v>
      </c>
    </row>
    <row r="25" spans="1:4" hidden="1">
      <c r="A25" s="7">
        <f>A24+1</f>
        <v>19</v>
      </c>
      <c r="B25" s="8" t="e">
        <f>B24+#REF!</f>
        <v>#REF!</v>
      </c>
      <c r="C25" s="9" t="e">
        <f t="shared" si="0"/>
        <v>#REF!</v>
      </c>
      <c r="D25" s="10" t="e">
        <f>D24-#REF!</f>
        <v>#REF!</v>
      </c>
    </row>
    <row r="26" spans="1:4" hidden="1">
      <c r="A26" s="7">
        <f>A25+1</f>
        <v>20</v>
      </c>
      <c r="B26" s="8" t="e">
        <f>B25+#REF!</f>
        <v>#REF!</v>
      </c>
      <c r="C26" s="9" t="e">
        <f t="shared" si="0"/>
        <v>#REF!</v>
      </c>
      <c r="D26" s="10" t="e">
        <f>D25-#REF!</f>
        <v>#REF!</v>
      </c>
    </row>
    <row r="27" spans="1:4" hidden="1">
      <c r="A27" s="11" t="s">
        <v>23</v>
      </c>
      <c r="B27" s="7"/>
      <c r="C27" s="9" t="e">
        <f>SUM(C7:C26)</f>
        <v>#REF!</v>
      </c>
      <c r="D27" s="10"/>
    </row>
    <row r="28" spans="1:4" hidden="1"/>
    <row r="29" spans="1:4" ht="12.75" hidden="1" customHeight="1">
      <c r="A29" s="1" t="s">
        <v>0</v>
      </c>
      <c r="B29" s="13"/>
    </row>
    <row r="31" spans="1:4">
      <c r="B31" s="5" t="s">
        <v>24</v>
      </c>
      <c r="C31" s="5" t="s">
        <v>25</v>
      </c>
      <c r="D31" s="5" t="s">
        <v>26</v>
      </c>
    </row>
    <row r="32" spans="1:4">
      <c r="B32" s="6"/>
      <c r="C32" s="6" t="s">
        <v>27</v>
      </c>
      <c r="D32" s="6"/>
    </row>
    <row r="33" spans="1:4">
      <c r="B33" s="14">
        <v>1</v>
      </c>
      <c r="C33" s="15">
        <f>$C$1*((1+$C$2)^(1/360) - 1)</f>
        <v>2.0633059859013949</v>
      </c>
      <c r="D33" s="15">
        <f>C33</f>
        <v>2.0633059859013949</v>
      </c>
    </row>
    <row r="34" spans="1:4">
      <c r="B34" s="14">
        <v>2</v>
      </c>
      <c r="C34" s="15">
        <f t="shared" ref="C34:C65" si="2">($C$1+D33)*((1+$C$2)^(1/360) - 1)</f>
        <v>2.0641469221978528</v>
      </c>
      <c r="D34" s="15">
        <f>D33+C34</f>
        <v>4.1274529080992473</v>
      </c>
    </row>
    <row r="35" spans="1:4">
      <c r="B35" s="14">
        <v>3</v>
      </c>
      <c r="C35" s="15">
        <f t="shared" si="2"/>
        <v>2.0649882012325476</v>
      </c>
      <c r="D35" s="15">
        <f t="shared" ref="D35:D98" si="3">D34+C35</f>
        <v>6.1924411093317948</v>
      </c>
    </row>
    <row r="36" spans="1:4">
      <c r="B36" s="14">
        <v>4</v>
      </c>
      <c r="C36" s="15">
        <f t="shared" si="2"/>
        <v>2.0658298231451671</v>
      </c>
      <c r="D36" s="15">
        <f t="shared" si="3"/>
        <v>8.258270932476961</v>
      </c>
    </row>
    <row r="37" spans="1:4">
      <c r="B37" s="14">
        <v>5</v>
      </c>
      <c r="C37" s="15">
        <f t="shared" si="2"/>
        <v>2.0666717880754586</v>
      </c>
      <c r="D37" s="15">
        <f t="shared" si="3"/>
        <v>10.32494272055242</v>
      </c>
    </row>
    <row r="38" spans="1:4">
      <c r="B38" s="14">
        <v>6</v>
      </c>
      <c r="C38" s="15">
        <f t="shared" si="2"/>
        <v>2.0675140961632237</v>
      </c>
      <c r="D38" s="15">
        <f t="shared" si="3"/>
        <v>12.392456816715644</v>
      </c>
    </row>
    <row r="39" spans="1:4">
      <c r="B39" s="14">
        <v>7</v>
      </c>
      <c r="C39" s="15">
        <f t="shared" si="2"/>
        <v>2.0683567475483224</v>
      </c>
      <c r="D39" s="15">
        <f t="shared" si="3"/>
        <v>14.460813564263965</v>
      </c>
    </row>
    <row r="40" spans="1:4">
      <c r="B40" s="14">
        <v>8</v>
      </c>
      <c r="C40" s="15">
        <f t="shared" si="2"/>
        <v>2.0691997423706718</v>
      </c>
      <c r="D40" s="15">
        <f t="shared" si="3"/>
        <v>16.530013306634636</v>
      </c>
    </row>
    <row r="41" spans="1:4">
      <c r="A41" s="12"/>
      <c r="B41" s="14">
        <v>9</v>
      </c>
      <c r="C41" s="15">
        <f t="shared" si="2"/>
        <v>2.0700430807702457</v>
      </c>
      <c r="D41" s="15">
        <f t="shared" si="3"/>
        <v>18.600056387404884</v>
      </c>
    </row>
    <row r="42" spans="1:4">
      <c r="A42" s="1"/>
      <c r="B42" s="14">
        <v>10</v>
      </c>
      <c r="C42" s="15">
        <f t="shared" si="2"/>
        <v>2.0708867628870751</v>
      </c>
      <c r="D42" s="15">
        <f t="shared" si="3"/>
        <v>20.670943150291958</v>
      </c>
    </row>
    <row r="43" spans="1:4">
      <c r="B43" s="14">
        <v>11</v>
      </c>
      <c r="C43" s="15">
        <f t="shared" si="2"/>
        <v>2.0717307888612475</v>
      </c>
      <c r="D43" s="15">
        <f t="shared" si="3"/>
        <v>22.742673939153207</v>
      </c>
    </row>
    <row r="44" spans="1:4">
      <c r="B44" s="14">
        <v>12</v>
      </c>
      <c r="C44" s="15">
        <f t="shared" si="2"/>
        <v>2.0725751588329082</v>
      </c>
      <c r="D44" s="15">
        <f t="shared" si="3"/>
        <v>24.815249097986115</v>
      </c>
    </row>
    <row r="45" spans="1:4">
      <c r="B45" s="14">
        <v>13</v>
      </c>
      <c r="C45" s="15">
        <f t="shared" si="2"/>
        <v>2.0734198729422602</v>
      </c>
      <c r="D45" s="15">
        <f t="shared" si="3"/>
        <v>26.888668970928375</v>
      </c>
    </row>
    <row r="46" spans="1:4">
      <c r="B46" s="14">
        <v>14</v>
      </c>
      <c r="C46" s="15">
        <f t="shared" si="2"/>
        <v>2.0742649313295609</v>
      </c>
      <c r="D46" s="15">
        <f t="shared" si="3"/>
        <v>28.962933902257937</v>
      </c>
    </row>
    <row r="47" spans="1:4">
      <c r="B47" s="14">
        <v>15</v>
      </c>
      <c r="C47" s="15">
        <f t="shared" si="2"/>
        <v>2.0751103341351285</v>
      </c>
      <c r="D47" s="15">
        <f t="shared" si="3"/>
        <v>31.038044236393066</v>
      </c>
    </row>
    <row r="48" spans="1:4">
      <c r="A48" s="1"/>
      <c r="B48" s="14">
        <v>16</v>
      </c>
      <c r="C48" s="15">
        <f t="shared" si="2"/>
        <v>2.0759560814993363</v>
      </c>
      <c r="D48" s="15">
        <f t="shared" si="3"/>
        <v>33.114000317892405</v>
      </c>
    </row>
    <row r="49" spans="2:4">
      <c r="B49" s="14">
        <v>17</v>
      </c>
      <c r="C49" s="15">
        <f t="shared" si="2"/>
        <v>2.0768021735626148</v>
      </c>
      <c r="D49" s="15">
        <f t="shared" si="3"/>
        <v>35.190802491455017</v>
      </c>
    </row>
    <row r="50" spans="2:4">
      <c r="B50" s="14">
        <v>18</v>
      </c>
      <c r="C50" s="15">
        <f t="shared" si="2"/>
        <v>2.0776486104654515</v>
      </c>
      <c r="D50" s="15">
        <f t="shared" si="3"/>
        <v>37.268451101920469</v>
      </c>
    </row>
    <row r="51" spans="2:4">
      <c r="B51" s="14">
        <v>19</v>
      </c>
      <c r="C51" s="15">
        <f t="shared" si="2"/>
        <v>2.0784953923483935</v>
      </c>
      <c r="D51" s="15">
        <f t="shared" si="3"/>
        <v>39.346946494268863</v>
      </c>
    </row>
    <row r="52" spans="2:4">
      <c r="B52" s="14">
        <v>20</v>
      </c>
      <c r="C52" s="15">
        <f t="shared" si="2"/>
        <v>2.0793425193520423</v>
      </c>
      <c r="D52" s="15">
        <f t="shared" si="3"/>
        <v>41.426289013620902</v>
      </c>
    </row>
    <row r="53" spans="2:4">
      <c r="B53" s="14">
        <v>21</v>
      </c>
      <c r="C53" s="15">
        <f t="shared" si="2"/>
        <v>2.0801899916170572</v>
      </c>
      <c r="D53" s="15">
        <f t="shared" si="3"/>
        <v>43.506479005237956</v>
      </c>
    </row>
    <row r="54" spans="2:4">
      <c r="B54" s="14">
        <v>22</v>
      </c>
      <c r="C54" s="15">
        <f t="shared" si="2"/>
        <v>2.0810378092841573</v>
      </c>
      <c r="D54" s="15">
        <f t="shared" si="3"/>
        <v>45.587516814522111</v>
      </c>
    </row>
    <row r="55" spans="2:4">
      <c r="B55" s="14">
        <v>23</v>
      </c>
      <c r="C55" s="15">
        <f t="shared" si="2"/>
        <v>2.0818859724941157</v>
      </c>
      <c r="D55" s="15">
        <f t="shared" si="3"/>
        <v>47.669402787016224</v>
      </c>
    </row>
    <row r="56" spans="2:4">
      <c r="B56" s="14">
        <v>24</v>
      </c>
      <c r="C56" s="15">
        <f t="shared" si="2"/>
        <v>2.0827344813877651</v>
      </c>
      <c r="D56" s="15">
        <f t="shared" si="3"/>
        <v>49.752137268403992</v>
      </c>
    </row>
    <row r="57" spans="2:4">
      <c r="B57" s="14">
        <v>25</v>
      </c>
      <c r="C57" s="15">
        <f t="shared" si="2"/>
        <v>2.083583336105995</v>
      </c>
      <c r="D57" s="15">
        <f t="shared" si="3"/>
        <v>51.835720604509987</v>
      </c>
    </row>
    <row r="58" spans="2:4">
      <c r="B58" s="14">
        <v>26</v>
      </c>
      <c r="C58" s="15">
        <f t="shared" si="2"/>
        <v>2.0844325367897518</v>
      </c>
      <c r="D58" s="15">
        <f t="shared" si="3"/>
        <v>53.920153141299735</v>
      </c>
    </row>
    <row r="59" spans="2:4">
      <c r="B59" s="14">
        <v>27</v>
      </c>
      <c r="C59" s="15">
        <f t="shared" si="2"/>
        <v>2.0852820835800401</v>
      </c>
      <c r="D59" s="15">
        <f t="shared" si="3"/>
        <v>56.005435224879776</v>
      </c>
    </row>
    <row r="60" spans="2:4">
      <c r="B60" s="14">
        <v>28</v>
      </c>
      <c r="C60" s="15">
        <f t="shared" si="2"/>
        <v>2.0861319766179212</v>
      </c>
      <c r="D60" s="15">
        <f t="shared" si="3"/>
        <v>58.091567201497696</v>
      </c>
    </row>
    <row r="61" spans="2:4">
      <c r="B61" s="14">
        <v>29</v>
      </c>
      <c r="C61" s="15">
        <f t="shared" si="2"/>
        <v>2.0869822160445151</v>
      </c>
      <c r="D61" s="15">
        <f t="shared" si="3"/>
        <v>60.178549417542214</v>
      </c>
    </row>
    <row r="62" spans="2:4">
      <c r="B62" s="14">
        <v>30</v>
      </c>
      <c r="C62" s="15">
        <f t="shared" si="2"/>
        <v>2.0878328020009973</v>
      </c>
      <c r="D62" s="15">
        <f t="shared" si="3"/>
        <v>62.26638221954321</v>
      </c>
    </row>
    <row r="63" spans="2:4">
      <c r="B63" s="14">
        <v>31</v>
      </c>
      <c r="C63" s="15">
        <f t="shared" si="2"/>
        <v>2.0886837346286038</v>
      </c>
      <c r="D63" s="16">
        <f>D62+C63</f>
        <v>64.35506595417182</v>
      </c>
    </row>
    <row r="64" spans="2:4">
      <c r="B64" s="7">
        <v>32</v>
      </c>
      <c r="C64" s="9">
        <f t="shared" si="2"/>
        <v>2.0895350140686251</v>
      </c>
      <c r="D64" s="9">
        <f t="shared" si="3"/>
        <v>66.444600968240451</v>
      </c>
    </row>
    <row r="65" spans="2:4">
      <c r="B65" s="7">
        <v>33</v>
      </c>
      <c r="C65" s="9">
        <f t="shared" si="2"/>
        <v>2.0903866404624112</v>
      </c>
      <c r="D65" s="9">
        <f t="shared" si="3"/>
        <v>68.534987608702863</v>
      </c>
    </row>
    <row r="66" spans="2:4">
      <c r="B66" s="7">
        <v>34</v>
      </c>
      <c r="C66" s="9">
        <f t="shared" ref="C66:C100" si="4">($C$1+D65)*((1+$C$2)^(1/360) - 1)</f>
        <v>2.091238613951369</v>
      </c>
      <c r="D66" s="9">
        <f t="shared" si="3"/>
        <v>70.626226222654239</v>
      </c>
    </row>
    <row r="67" spans="2:4">
      <c r="B67" s="7">
        <v>35</v>
      </c>
      <c r="C67" s="9">
        <f t="shared" si="4"/>
        <v>2.0920909346769636</v>
      </c>
      <c r="D67" s="9">
        <f t="shared" si="3"/>
        <v>72.718317157331199</v>
      </c>
    </row>
    <row r="68" spans="2:4">
      <c r="B68" s="7">
        <v>36</v>
      </c>
      <c r="C68" s="9">
        <f t="shared" si="4"/>
        <v>2.0929436027807169</v>
      </c>
      <c r="D68" s="9">
        <f t="shared" si="3"/>
        <v>74.811260760111921</v>
      </c>
    </row>
    <row r="69" spans="2:4">
      <c r="B69" s="7">
        <v>37</v>
      </c>
      <c r="C69" s="9">
        <f t="shared" si="4"/>
        <v>2.0937966184042085</v>
      </c>
      <c r="D69" s="9">
        <f t="shared" si="3"/>
        <v>76.905057378516133</v>
      </c>
    </row>
    <row r="70" spans="2:4">
      <c r="B70" s="7">
        <v>38</v>
      </c>
      <c r="C70" s="9">
        <f t="shared" si="4"/>
        <v>2.0946499816890767</v>
      </c>
      <c r="D70" s="9">
        <f t="shared" si="3"/>
        <v>78.999707360205207</v>
      </c>
    </row>
    <row r="71" spans="2:4">
      <c r="B71" s="7">
        <v>39</v>
      </c>
      <c r="C71" s="9">
        <f t="shared" si="4"/>
        <v>2.0955036927770174</v>
      </c>
      <c r="D71" s="9">
        <f t="shared" si="3"/>
        <v>81.095211052982222</v>
      </c>
    </row>
    <row r="72" spans="2:4">
      <c r="B72" s="7">
        <v>40</v>
      </c>
      <c r="C72" s="9">
        <f t="shared" si="4"/>
        <v>2.0963577518097831</v>
      </c>
      <c r="D72" s="9">
        <f t="shared" si="3"/>
        <v>83.191568804791999</v>
      </c>
    </row>
    <row r="73" spans="2:4">
      <c r="B73" s="7">
        <v>41</v>
      </c>
      <c r="C73" s="9">
        <f t="shared" si="4"/>
        <v>2.0972121589291843</v>
      </c>
      <c r="D73" s="9">
        <f t="shared" si="3"/>
        <v>85.28878096372118</v>
      </c>
    </row>
    <row r="74" spans="2:4">
      <c r="B74" s="7">
        <v>42</v>
      </c>
      <c r="C74" s="9">
        <f t="shared" si="4"/>
        <v>2.0980669142770911</v>
      </c>
      <c r="D74" s="9">
        <f t="shared" si="3"/>
        <v>87.386847877998278</v>
      </c>
    </row>
    <row r="75" spans="2:4">
      <c r="B75" s="7">
        <v>43</v>
      </c>
      <c r="C75" s="9">
        <f t="shared" si="4"/>
        <v>2.0989220179954295</v>
      </c>
      <c r="D75" s="9">
        <f t="shared" si="3"/>
        <v>89.485769895993712</v>
      </c>
    </row>
    <row r="76" spans="2:4">
      <c r="B76" s="7">
        <v>44</v>
      </c>
      <c r="C76" s="9">
        <f t="shared" si="4"/>
        <v>2.0997774702261833</v>
      </c>
      <c r="D76" s="9">
        <f t="shared" si="3"/>
        <v>91.585547366219899</v>
      </c>
    </row>
    <row r="77" spans="2:4">
      <c r="B77" s="7">
        <v>45</v>
      </c>
      <c r="C77" s="9">
        <f t="shared" si="4"/>
        <v>2.1006332711113953</v>
      </c>
      <c r="D77" s="9">
        <f t="shared" si="3"/>
        <v>93.68618063733129</v>
      </c>
    </row>
    <row r="78" spans="2:4">
      <c r="B78" s="7">
        <v>46</v>
      </c>
      <c r="C78" s="9">
        <f t="shared" si="4"/>
        <v>2.1014894207931665</v>
      </c>
      <c r="D78" s="9">
        <f t="shared" si="3"/>
        <v>95.787670058124462</v>
      </c>
    </row>
    <row r="79" spans="2:4">
      <c r="B79" s="7">
        <v>47</v>
      </c>
      <c r="C79" s="9">
        <f t="shared" si="4"/>
        <v>2.1023459194136538</v>
      </c>
      <c r="D79" s="9">
        <f t="shared" si="3"/>
        <v>97.890015977538113</v>
      </c>
    </row>
    <row r="80" spans="2:4">
      <c r="B80" s="7">
        <v>48</v>
      </c>
      <c r="C80" s="9">
        <f t="shared" si="4"/>
        <v>2.1032027671150737</v>
      </c>
      <c r="D80" s="9">
        <f t="shared" si="3"/>
        <v>99.993218744653191</v>
      </c>
    </row>
    <row r="81" spans="2:4">
      <c r="B81" s="7">
        <v>49</v>
      </c>
      <c r="C81" s="9">
        <f t="shared" si="4"/>
        <v>2.1040599640397004</v>
      </c>
      <c r="D81" s="9">
        <f t="shared" si="3"/>
        <v>102.0972787086929</v>
      </c>
    </row>
    <row r="82" spans="2:4">
      <c r="B82" s="7">
        <v>50</v>
      </c>
      <c r="C82" s="9">
        <f t="shared" si="4"/>
        <v>2.1049175103298658</v>
      </c>
      <c r="D82" s="9">
        <f t="shared" si="3"/>
        <v>104.20219621902277</v>
      </c>
    </row>
    <row r="83" spans="2:4">
      <c r="B83" s="7">
        <v>51</v>
      </c>
      <c r="C83" s="9">
        <f t="shared" si="4"/>
        <v>2.1057754061279597</v>
      </c>
      <c r="D83" s="9">
        <f t="shared" si="3"/>
        <v>106.30797162515073</v>
      </c>
    </row>
    <row r="84" spans="2:4">
      <c r="B84" s="7">
        <v>52</v>
      </c>
      <c r="C84" s="9">
        <f t="shared" si="4"/>
        <v>2.1066336515764301</v>
      </c>
      <c r="D84" s="9">
        <f t="shared" si="3"/>
        <v>108.41460527672716</v>
      </c>
    </row>
    <row r="85" spans="2:4">
      <c r="B85" s="7">
        <v>53</v>
      </c>
      <c r="C85" s="9">
        <f t="shared" si="4"/>
        <v>2.1074922468177837</v>
      </c>
      <c r="D85" s="9">
        <f t="shared" si="3"/>
        <v>110.52209752354494</v>
      </c>
    </row>
    <row r="86" spans="2:4">
      <c r="B86" s="7">
        <v>54</v>
      </c>
      <c r="C86" s="9">
        <f t="shared" si="4"/>
        <v>2.1083511919945837</v>
      </c>
      <c r="D86" s="9">
        <f t="shared" si="3"/>
        <v>112.63044871553953</v>
      </c>
    </row>
    <row r="87" spans="2:4">
      <c r="B87" s="7">
        <v>55</v>
      </c>
      <c r="C87" s="9">
        <f t="shared" si="4"/>
        <v>2.1092104872494533</v>
      </c>
      <c r="D87" s="9">
        <f t="shared" si="3"/>
        <v>114.73965920278899</v>
      </c>
    </row>
    <row r="88" spans="2:4">
      <c r="B88" s="7">
        <v>56</v>
      </c>
      <c r="C88" s="9">
        <f t="shared" si="4"/>
        <v>2.1100701327250726</v>
      </c>
      <c r="D88" s="9">
        <f t="shared" si="3"/>
        <v>116.84972933551406</v>
      </c>
    </row>
    <row r="89" spans="2:4">
      <c r="B89" s="7">
        <v>57</v>
      </c>
      <c r="C89" s="9">
        <f t="shared" si="4"/>
        <v>2.1109301285641799</v>
      </c>
      <c r="D89" s="9">
        <f t="shared" si="3"/>
        <v>118.96065946407823</v>
      </c>
    </row>
    <row r="90" spans="2:4">
      <c r="B90" s="7">
        <v>58</v>
      </c>
      <c r="C90" s="9">
        <f t="shared" si="4"/>
        <v>2.1117904749095726</v>
      </c>
      <c r="D90" s="9">
        <f t="shared" si="3"/>
        <v>121.0724499389878</v>
      </c>
    </row>
    <row r="91" spans="2:4">
      <c r="B91" s="7">
        <v>59</v>
      </c>
      <c r="C91" s="9">
        <f t="shared" si="4"/>
        <v>2.1126511719041052</v>
      </c>
      <c r="D91" s="9">
        <f t="shared" si="3"/>
        <v>123.18510111089191</v>
      </c>
    </row>
    <row r="92" spans="2:4">
      <c r="B92" s="7">
        <v>60</v>
      </c>
      <c r="C92" s="9">
        <f t="shared" si="4"/>
        <v>2.1135122196906906</v>
      </c>
      <c r="D92" s="9">
        <f t="shared" si="3"/>
        <v>125.2986133305826</v>
      </c>
    </row>
    <row r="93" spans="2:4">
      <c r="B93" s="7">
        <v>61</v>
      </c>
      <c r="C93" s="9">
        <f t="shared" si="4"/>
        <v>2.1143736184123005</v>
      </c>
      <c r="D93" s="9">
        <f t="shared" si="3"/>
        <v>127.4129869489949</v>
      </c>
    </row>
    <row r="94" spans="2:4">
      <c r="B94" s="7">
        <v>62</v>
      </c>
      <c r="C94" s="9">
        <f t="shared" si="4"/>
        <v>2.1152353682119651</v>
      </c>
      <c r="D94" s="9">
        <f t="shared" si="3"/>
        <v>129.52822231720685</v>
      </c>
    </row>
    <row r="95" spans="2:4">
      <c r="B95" s="7">
        <v>63</v>
      </c>
      <c r="C95" s="9">
        <f t="shared" si="4"/>
        <v>2.1160974692327712</v>
      </c>
      <c r="D95" s="9">
        <f t="shared" si="3"/>
        <v>131.64431978643964</v>
      </c>
    </row>
    <row r="96" spans="2:4">
      <c r="B96" s="7">
        <v>64</v>
      </c>
      <c r="C96" s="9">
        <f t="shared" si="4"/>
        <v>2.1169599216178661</v>
      </c>
      <c r="D96" s="9">
        <f t="shared" si="3"/>
        <v>133.76127970805751</v>
      </c>
    </row>
    <row r="97" spans="2:4">
      <c r="B97" s="7">
        <v>65</v>
      </c>
      <c r="C97" s="9">
        <f t="shared" si="4"/>
        <v>2.1178227255104538</v>
      </c>
      <c r="D97" s="9">
        <f t="shared" si="3"/>
        <v>135.87910243356797</v>
      </c>
    </row>
    <row r="98" spans="2:4">
      <c r="B98" s="7">
        <v>66</v>
      </c>
      <c r="C98" s="9">
        <f t="shared" si="4"/>
        <v>2.1186858810537981</v>
      </c>
      <c r="D98" s="9">
        <f t="shared" si="3"/>
        <v>137.99778831462177</v>
      </c>
    </row>
    <row r="99" spans="2:4">
      <c r="B99" s="7">
        <v>67</v>
      </c>
      <c r="C99" s="9">
        <f t="shared" si="4"/>
        <v>2.1195493883912198</v>
      </c>
      <c r="D99" s="9">
        <f>D98+C99</f>
        <v>140.11733770301299</v>
      </c>
    </row>
    <row r="100" spans="2:4">
      <c r="B100" s="7">
        <v>68</v>
      </c>
      <c r="C100" s="9">
        <f t="shared" si="4"/>
        <v>2.1204132476660984</v>
      </c>
      <c r="D100" s="9">
        <f>D99+C100</f>
        <v>142.2377509506791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ff33436-4701-4dad-b7d3-3462e99c6889}" enabled="0" method="" siteId="{8ff33436-4701-4dad-b7d3-3462e99c68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Simulador XL sin S.Desgravamen</vt:lpstr>
      <vt:lpstr>Simulador XL con S.Desgravamen</vt:lpstr>
      <vt:lpstr>Intereses de la 2a cuota</vt:lpstr>
      <vt:lpstr>'Simulador XL con S.Desgravamen'!Área_de_impresión</vt:lpstr>
      <vt:lpstr>'Simulador XL sin S.Desgravamen'!Área_de_impresión</vt:lpstr>
    </vt:vector>
  </TitlesOfParts>
  <Company>SCOTIABANK PERU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Xynthia Garcia</dc:creator>
  <cp:lastModifiedBy>Vasquez Zaravia, Sara Jhoselyn</cp:lastModifiedBy>
  <cp:lastPrinted>2018-12-21T22:03:08Z</cp:lastPrinted>
  <dcterms:created xsi:type="dcterms:W3CDTF">2008-09-30T22:15:51Z</dcterms:created>
  <dcterms:modified xsi:type="dcterms:W3CDTF">2025-09-02T22:11:57Z</dcterms:modified>
</cp:coreProperties>
</file>